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ampbell\Desktop\"/>
    </mc:Choice>
  </mc:AlternateContent>
  <xr:revisionPtr revIDLastSave="0" documentId="8_{78F64F4D-617D-4EB6-820F-87CA11D27784}" xr6:coauthVersionLast="47" xr6:coauthVersionMax="47" xr10:uidLastSave="{00000000-0000-0000-0000-000000000000}"/>
  <bookViews>
    <workbookView xWindow="-120" yWindow="-120" windowWidth="29040" windowHeight="15720" xr2:uid="{9142093A-A354-472E-95F2-3760AF820694}"/>
  </bookViews>
  <sheets>
    <sheet name="Balancing Sheet" sheetId="23" r:id="rId1"/>
    <sheet name="GF Expenses" sheetId="26" state="hidden" r:id="rId2"/>
    <sheet name="Sheet4" sheetId="29" state="hidden" r:id="rId3"/>
    <sheet name="Sheet3" sheetId="28" state="hidden" r:id="rId4"/>
    <sheet name="GF REV" sheetId="22" r:id="rId5"/>
    <sheet name="Sheet2" sheetId="27" state="hidden" r:id="rId6"/>
    <sheet name="Town Council" sheetId="2" r:id="rId7"/>
    <sheet name="Town Manager" sheetId="1" r:id="rId8"/>
    <sheet name="Finance" sheetId="3" r:id="rId9"/>
    <sheet name="HR" sheetId="4" r:id="rId10"/>
    <sheet name="Legal" sheetId="5" r:id="rId11"/>
    <sheet name="IT" sheetId="6" r:id="rId12"/>
    <sheet name="Comm Dev" sheetId="10" r:id="rId13"/>
    <sheet name="RPD" sheetId="7" r:id="rId14"/>
    <sheet name="Police Grants" sheetId="30" r:id="rId15"/>
    <sheet name="FED_State Asset Forf" sheetId="31" r:id="rId16"/>
    <sheet name="Narc TF" sheetId="11" r:id="rId17"/>
    <sheet name="RFD" sheetId="8" r:id="rId18"/>
    <sheet name="Rescue" sheetId="12" r:id="rId19"/>
    <sheet name="Streets" sheetId="13" r:id="rId20"/>
    <sheet name="Sanitation" sheetId="9" r:id="rId21"/>
    <sheet name="Parks" sheetId="14" r:id="rId22"/>
    <sheet name="Non-D" sheetId="15" r:id="rId23"/>
    <sheet name="W&amp;S Revenue" sheetId="24" r:id="rId24"/>
    <sheet name="WA TR PL" sheetId="18" r:id="rId25"/>
    <sheet name="WW TR PL" sheetId="19" r:id="rId26"/>
    <sheet name="W&amp;S LINE" sheetId="20" r:id="rId27"/>
    <sheet name="Electric REV" sheetId="25" r:id="rId28"/>
    <sheet name="Electric Dep" sheetId="21" r:id="rId29"/>
    <sheet name="Synopsis" sheetId="33" r:id="rId30"/>
    <sheet name="Sheet17" sheetId="17" state="hidden" r:id="rId31"/>
  </sheets>
  <definedNames>
    <definedName name="_xlnm.Print_Area" localSheetId="17">RFD!$A$1:$G$50</definedName>
    <definedName name="_xlnm.Print_Area" localSheetId="29">Synopsis!$A$1:$F$42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33" l="1"/>
  <c r="D41" i="33"/>
  <c r="E41" i="33"/>
  <c r="F41" i="33"/>
  <c r="B41" i="33"/>
  <c r="C39" i="33"/>
  <c r="D39" i="33"/>
  <c r="E39" i="33"/>
  <c r="F39" i="33"/>
  <c r="B39" i="33"/>
  <c r="C37" i="33"/>
  <c r="D37" i="33"/>
  <c r="E37" i="33"/>
  <c r="F37" i="33"/>
  <c r="B37" i="33"/>
  <c r="C35" i="33"/>
  <c r="D35" i="33"/>
  <c r="E35" i="33"/>
  <c r="F35" i="33"/>
  <c r="B35" i="33"/>
  <c r="C33" i="33"/>
  <c r="D33" i="33"/>
  <c r="E33" i="33"/>
  <c r="F33" i="33"/>
  <c r="B33" i="33"/>
  <c r="F25" i="33"/>
  <c r="F31" i="33" s="1"/>
  <c r="E25" i="33"/>
  <c r="E31" i="33" s="1"/>
  <c r="D25" i="33"/>
  <c r="C25" i="33"/>
  <c r="C31" i="33" s="1"/>
  <c r="D31" i="33"/>
  <c r="B25" i="33"/>
  <c r="B31" i="33"/>
  <c r="C29" i="33"/>
  <c r="D29" i="33"/>
  <c r="E29" i="33"/>
  <c r="F29" i="33"/>
  <c r="B29" i="33"/>
  <c r="C27" i="33"/>
  <c r="D27" i="33"/>
  <c r="E27" i="33"/>
  <c r="F27" i="33"/>
  <c r="B27" i="33"/>
  <c r="C28" i="33"/>
  <c r="D28" i="33"/>
  <c r="E28" i="33"/>
  <c r="F28" i="33"/>
  <c r="B28" i="33"/>
  <c r="C26" i="33"/>
  <c r="D26" i="33"/>
  <c r="E26" i="33"/>
  <c r="F26" i="33"/>
  <c r="B26" i="33"/>
  <c r="C18" i="33"/>
  <c r="D18" i="33"/>
  <c r="E18" i="33"/>
  <c r="F18" i="33"/>
  <c r="B18" i="33"/>
  <c r="C16" i="33"/>
  <c r="D16" i="33"/>
  <c r="E16" i="33"/>
  <c r="F16" i="33"/>
  <c r="B16" i="33"/>
  <c r="C14" i="33"/>
  <c r="D14" i="33"/>
  <c r="E14" i="33"/>
  <c r="F14" i="33"/>
  <c r="B14" i="33"/>
  <c r="C9" i="33"/>
  <c r="D9" i="33"/>
  <c r="E9" i="33"/>
  <c r="F9" i="33"/>
  <c r="B9" i="33"/>
  <c r="C8" i="33"/>
  <c r="D8" i="33"/>
  <c r="E8" i="33"/>
  <c r="F8" i="33"/>
  <c r="B8" i="33"/>
  <c r="C7" i="33"/>
  <c r="D7" i="33"/>
  <c r="E7" i="33"/>
  <c r="F7" i="33"/>
  <c r="B7" i="33"/>
  <c r="C6" i="33"/>
  <c r="D6" i="33"/>
  <c r="E6" i="33"/>
  <c r="F6" i="33"/>
  <c r="B6" i="33"/>
  <c r="C5" i="33"/>
  <c r="D5" i="33"/>
  <c r="E5" i="33"/>
  <c r="F5" i="33"/>
  <c r="B5" i="33"/>
  <c r="G44" i="24"/>
  <c r="G7" i="24"/>
  <c r="C10" i="33" l="1"/>
  <c r="C12" i="33" s="1"/>
  <c r="C20" i="33" s="1"/>
  <c r="F10" i="33"/>
  <c r="F12" i="33" s="1"/>
  <c r="F20" i="33" s="1"/>
  <c r="D10" i="33"/>
  <c r="D12" i="33" s="1"/>
  <c r="D20" i="33" s="1"/>
  <c r="B10" i="33"/>
  <c r="B12" i="33" s="1"/>
  <c r="B20" i="33" s="1"/>
  <c r="E10" i="33"/>
  <c r="E12" i="33" s="1"/>
  <c r="E20" i="33" s="1"/>
  <c r="G53" i="24"/>
  <c r="G52" i="24"/>
  <c r="G54" i="24" s="1"/>
  <c r="G19" i="24"/>
  <c r="D54" i="24"/>
  <c r="E54" i="24"/>
  <c r="F54" i="24"/>
  <c r="C54" i="24"/>
  <c r="K53" i="24"/>
  <c r="G18" i="24"/>
  <c r="G17" i="24"/>
  <c r="G15" i="24"/>
  <c r="G16" i="24"/>
  <c r="G74" i="19"/>
  <c r="G73" i="19"/>
  <c r="G71" i="18"/>
  <c r="G70" i="18"/>
  <c r="G9" i="3" l="1"/>
  <c r="G8" i="7"/>
  <c r="G5" i="7"/>
  <c r="G6" i="22"/>
  <c r="G12" i="22"/>
  <c r="D23" i="25"/>
  <c r="G9" i="25"/>
  <c r="G70" i="21" l="1"/>
  <c r="G14" i="22" l="1"/>
  <c r="G5" i="9"/>
  <c r="G42" i="13"/>
  <c r="G40" i="13"/>
  <c r="G34" i="13"/>
  <c r="G21" i="13"/>
  <c r="G22" i="13"/>
  <c r="G28" i="3"/>
  <c r="G40" i="14"/>
  <c r="G35" i="14"/>
  <c r="G25" i="14"/>
  <c r="G5" i="18" l="1"/>
  <c r="G60" i="18"/>
  <c r="G69" i="18"/>
  <c r="G79" i="21"/>
  <c r="G72" i="19"/>
  <c r="G82" i="22"/>
  <c r="G81" i="22"/>
  <c r="H9" i="25"/>
  <c r="D21" i="25" s="1"/>
  <c r="G55" i="19"/>
  <c r="G51" i="18"/>
  <c r="G61" i="21"/>
  <c r="G26" i="9"/>
  <c r="G49" i="8"/>
  <c r="G23" i="8"/>
  <c r="G39" i="8"/>
  <c r="G24" i="12"/>
  <c r="G30" i="12"/>
  <c r="G42" i="12"/>
  <c r="G34" i="12"/>
  <c r="G27" i="12"/>
  <c r="G28" i="12"/>
  <c r="G48" i="3"/>
  <c r="G43" i="3"/>
  <c r="G34" i="3"/>
  <c r="G38" i="3"/>
  <c r="G33" i="3"/>
  <c r="G30" i="3"/>
  <c r="G52" i="13"/>
  <c r="G5" i="19"/>
  <c r="G5" i="13"/>
  <c r="G22" i="1"/>
  <c r="G5" i="8"/>
  <c r="G4" i="21" l="1"/>
  <c r="G64" i="19"/>
  <c r="G23" i="15"/>
  <c r="G13" i="6"/>
  <c r="G10" i="3" l="1"/>
  <c r="G6" i="12" l="1"/>
  <c r="G21" i="31" l="1"/>
  <c r="F21" i="31"/>
  <c r="E21" i="31"/>
  <c r="G16" i="31"/>
  <c r="G22" i="31" s="1"/>
  <c r="F16" i="31"/>
  <c r="F22" i="31" s="1"/>
  <c r="E16" i="31"/>
  <c r="E22" i="31" s="1"/>
  <c r="D16" i="31"/>
  <c r="D22" i="31" s="1"/>
  <c r="C16" i="31"/>
  <c r="C22" i="31" s="1"/>
  <c r="G8" i="31"/>
  <c r="F8" i="31"/>
  <c r="E8" i="31"/>
  <c r="D8" i="31"/>
  <c r="D21" i="31" s="1"/>
  <c r="C8" i="31"/>
  <c r="C21" i="31" s="1"/>
  <c r="D20" i="30"/>
  <c r="D15" i="30"/>
  <c r="D21" i="30" s="1"/>
  <c r="D13" i="7"/>
  <c r="D8" i="30"/>
  <c r="G15" i="30"/>
  <c r="G21" i="30" s="1"/>
  <c r="F15" i="30"/>
  <c r="F21" i="30" s="1"/>
  <c r="C15" i="30"/>
  <c r="C21" i="30" s="1"/>
  <c r="E15" i="30"/>
  <c r="E21" i="30" s="1"/>
  <c r="F8" i="30"/>
  <c r="F20" i="30" s="1"/>
  <c r="E8" i="30"/>
  <c r="E20" i="30" s="1"/>
  <c r="C8" i="30"/>
  <c r="C20" i="30" s="1"/>
  <c r="G8" i="30"/>
  <c r="G20" i="30" s="1"/>
  <c r="E81" i="22"/>
  <c r="D52" i="14"/>
  <c r="C52" i="14"/>
  <c r="F52" i="14"/>
  <c r="E52" i="14"/>
  <c r="E53" i="13"/>
  <c r="E40" i="13"/>
  <c r="E33" i="7"/>
  <c r="G9" i="9"/>
  <c r="G8" i="9"/>
  <c r="G9" i="14"/>
  <c r="G8" i="14"/>
  <c r="G9" i="13"/>
  <c r="G8" i="13"/>
  <c r="G9" i="12"/>
  <c r="G8" i="12"/>
  <c r="G24" i="31" l="1"/>
  <c r="F24" i="31"/>
  <c r="D24" i="31"/>
  <c r="C24" i="31"/>
  <c r="E24" i="31"/>
  <c r="D23" i="30"/>
  <c r="F23" i="30"/>
  <c r="C23" i="30"/>
  <c r="G23" i="30"/>
  <c r="E23" i="30"/>
  <c r="G9" i="7"/>
  <c r="G7" i="7"/>
  <c r="G9" i="4"/>
  <c r="G8" i="4"/>
  <c r="G8" i="1"/>
  <c r="G7" i="1"/>
  <c r="G6" i="1"/>
  <c r="F44" i="24"/>
  <c r="R44" i="24" s="1"/>
  <c r="F64" i="19"/>
  <c r="F55" i="19"/>
  <c r="R7" i="24"/>
  <c r="D29" i="24" s="1"/>
  <c r="D31" i="24" l="1"/>
  <c r="D34" i="24"/>
  <c r="D64" i="24"/>
  <c r="F87" i="24"/>
  <c r="G87" i="24"/>
  <c r="H87" i="24"/>
  <c r="I87" i="24"/>
  <c r="J87" i="24"/>
  <c r="K87" i="24"/>
  <c r="L87" i="24"/>
  <c r="M87" i="24"/>
  <c r="N87" i="24"/>
  <c r="O87" i="24"/>
  <c r="P87" i="24"/>
  <c r="Q87" i="24"/>
  <c r="E87" i="24"/>
  <c r="F41" i="24"/>
  <c r="G41" i="24"/>
  <c r="E41" i="24"/>
  <c r="G91" i="24"/>
  <c r="G12" i="18"/>
  <c r="G10" i="18"/>
  <c r="G9" i="18"/>
  <c r="G8" i="18"/>
  <c r="F56" i="18"/>
  <c r="G56" i="18"/>
  <c r="E56" i="18"/>
  <c r="F16" i="18"/>
  <c r="G16" i="18"/>
  <c r="E16" i="18"/>
  <c r="G53" i="18"/>
  <c r="G59" i="18" s="1"/>
  <c r="J4" i="23" l="1"/>
  <c r="D66" i="24"/>
  <c r="D69" i="24"/>
  <c r="G13" i="18"/>
  <c r="G58" i="18" s="1"/>
  <c r="G62" i="18" s="1"/>
  <c r="G21" i="24" s="1"/>
  <c r="G8" i="19" l="1"/>
  <c r="G8" i="20"/>
  <c r="G7" i="20"/>
  <c r="G9" i="20"/>
  <c r="G8" i="21"/>
  <c r="G7" i="21"/>
  <c r="G9" i="19"/>
  <c r="E65" i="19" l="1"/>
  <c r="G60" i="19" l="1"/>
  <c r="F60" i="19"/>
  <c r="E60" i="19"/>
  <c r="G16" i="19"/>
  <c r="F16" i="19"/>
  <c r="E16" i="19"/>
  <c r="G57" i="19"/>
  <c r="G63" i="19" s="1"/>
  <c r="G13" i="19"/>
  <c r="G62" i="19" s="1"/>
  <c r="G5" i="3"/>
  <c r="G5" i="14"/>
  <c r="G5" i="12"/>
  <c r="G5" i="4"/>
  <c r="G51" i="20"/>
  <c r="F51" i="20"/>
  <c r="E51" i="20"/>
  <c r="G16" i="20"/>
  <c r="F16" i="20"/>
  <c r="E16" i="20"/>
  <c r="G48" i="20"/>
  <c r="G54" i="20" s="1"/>
  <c r="G13" i="20"/>
  <c r="G53" i="20" s="1"/>
  <c r="G63" i="21"/>
  <c r="G69" i="21" s="1"/>
  <c r="G12" i="21"/>
  <c r="G68" i="21" s="1"/>
  <c r="G14" i="25"/>
  <c r="E12" i="25"/>
  <c r="J5" i="23" l="1"/>
  <c r="G66" i="19"/>
  <c r="G56" i="24" s="1"/>
  <c r="G56" i="20"/>
  <c r="D25" i="25"/>
  <c r="D29" i="25" s="1"/>
  <c r="G72" i="21"/>
  <c r="G16" i="25" s="1"/>
  <c r="G12" i="8"/>
  <c r="G47" i="8" s="1"/>
  <c r="G84" i="22"/>
  <c r="J3" i="23" s="1"/>
  <c r="G25" i="15"/>
  <c r="G31" i="15" s="1"/>
  <c r="G33" i="15" s="1"/>
  <c r="G43" i="14"/>
  <c r="G49" i="14" s="1"/>
  <c r="G52" i="14" s="1"/>
  <c r="G27" i="9"/>
  <c r="G33" i="9" s="1"/>
  <c r="G13" i="13"/>
  <c r="G50" i="13" s="1"/>
  <c r="G45" i="13"/>
  <c r="G51" i="13" s="1"/>
  <c r="G46" i="12"/>
  <c r="G52" i="12" s="1"/>
  <c r="G42" i="8"/>
  <c r="G48" i="8" s="1"/>
  <c r="G21" i="11"/>
  <c r="G27" i="11" s="1"/>
  <c r="G6" i="11"/>
  <c r="G26" i="11" s="1"/>
  <c r="G13" i="7"/>
  <c r="G56" i="7" s="1"/>
  <c r="G51" i="7"/>
  <c r="G57" i="7" s="1"/>
  <c r="G22" i="10"/>
  <c r="G28" i="10" s="1"/>
  <c r="G13" i="10"/>
  <c r="G27" i="10" s="1"/>
  <c r="G7" i="6"/>
  <c r="G8" i="6"/>
  <c r="G19" i="6"/>
  <c r="G25" i="6" s="1"/>
  <c r="G18" i="5"/>
  <c r="G24" i="5" s="1"/>
  <c r="G9" i="5"/>
  <c r="G23" i="5" s="1"/>
  <c r="G22" i="4"/>
  <c r="G28" i="4" s="1"/>
  <c r="G13" i="4"/>
  <c r="G27" i="4" s="1"/>
  <c r="G6" i="3"/>
  <c r="G51" i="3"/>
  <c r="G57" i="3" s="1"/>
  <c r="G23" i="1"/>
  <c r="G29" i="1" s="1"/>
  <c r="G12" i="1"/>
  <c r="G28" i="1" s="1"/>
  <c r="G18" i="2"/>
  <c r="G24" i="2" s="1"/>
  <c r="G11" i="2"/>
  <c r="G23" i="2" s="1"/>
  <c r="F81" i="22"/>
  <c r="G30" i="10" l="1"/>
  <c r="D31" i="25"/>
  <c r="D34" i="25"/>
  <c r="K4" i="23"/>
  <c r="L4" i="23" s="1"/>
  <c r="G26" i="2"/>
  <c r="K5" i="23"/>
  <c r="L5" i="23" s="1"/>
  <c r="G29" i="11"/>
  <c r="G30" i="4"/>
  <c r="G13" i="9"/>
  <c r="G32" i="9" s="1"/>
  <c r="G36" i="9" s="1"/>
  <c r="G50" i="8"/>
  <c r="G55" i="13"/>
  <c r="G13" i="12"/>
  <c r="G51" i="12" s="1"/>
  <c r="G54" i="12" s="1"/>
  <c r="G59" i="7"/>
  <c r="G9" i="6"/>
  <c r="G24" i="6" s="1"/>
  <c r="G27" i="6" s="1"/>
  <c r="G26" i="5"/>
  <c r="G14" i="3"/>
  <c r="G56" i="3" s="1"/>
  <c r="G59" i="3" s="1"/>
  <c r="G31" i="1"/>
  <c r="F25" i="7"/>
  <c r="F34" i="12"/>
  <c r="K45" i="24"/>
  <c r="K44" i="24"/>
  <c r="K43" i="24"/>
  <c r="K42" i="24"/>
  <c r="F61" i="18"/>
  <c r="L15" i="24"/>
  <c r="L5" i="24"/>
  <c r="L8" i="24"/>
  <c r="L9" i="24"/>
  <c r="L10" i="24"/>
  <c r="L13" i="24"/>
  <c r="P7" i="24" s="1"/>
  <c r="L7" i="24"/>
  <c r="L6" i="24"/>
  <c r="P6" i="24" s="1"/>
  <c r="L12" i="24"/>
  <c r="L11" i="24"/>
  <c r="L14" i="24"/>
  <c r="K15" i="24"/>
  <c r="K5" i="24"/>
  <c r="K8" i="24"/>
  <c r="K9" i="24"/>
  <c r="K10" i="24"/>
  <c r="K18" i="24"/>
  <c r="K13" i="24"/>
  <c r="K7" i="24"/>
  <c r="K6" i="24"/>
  <c r="O6" i="24" s="1"/>
  <c r="K12" i="24"/>
  <c r="K11" i="24"/>
  <c r="K14" i="24"/>
  <c r="P8" i="24" l="1"/>
  <c r="K3" i="23"/>
  <c r="C13" i="18"/>
  <c r="C38" i="26"/>
  <c r="D38" i="26"/>
  <c r="F38" i="26"/>
  <c r="D44" i="26"/>
  <c r="C47" i="26"/>
  <c r="D47" i="26"/>
  <c r="F47" i="26"/>
  <c r="C84" i="22"/>
  <c r="F12" i="28"/>
  <c r="E12" i="28"/>
  <c r="D12" i="28"/>
  <c r="C12" i="28"/>
  <c r="D30" i="27"/>
  <c r="E30" i="27"/>
  <c r="F30" i="27"/>
  <c r="C30" i="27"/>
  <c r="D27" i="27"/>
  <c r="E27" i="27"/>
  <c r="F27" i="27"/>
  <c r="C27" i="27"/>
  <c r="D14" i="27"/>
  <c r="E14" i="27"/>
  <c r="F14" i="27"/>
  <c r="C14" i="27"/>
  <c r="C99" i="27" s="1"/>
  <c r="F97" i="27"/>
  <c r="D23" i="26"/>
  <c r="F23" i="26"/>
  <c r="D29" i="26"/>
  <c r="C23" i="26"/>
  <c r="D59" i="3"/>
  <c r="D51" i="3"/>
  <c r="E51" i="3"/>
  <c r="F51" i="3"/>
  <c r="D14" i="3"/>
  <c r="E14" i="3"/>
  <c r="E29" i="26" s="1"/>
  <c r="F14" i="3"/>
  <c r="F29" i="26" s="1"/>
  <c r="D23" i="1"/>
  <c r="E23" i="1"/>
  <c r="F23" i="1"/>
  <c r="D12" i="1"/>
  <c r="D26" i="26" s="1"/>
  <c r="E12" i="1"/>
  <c r="E26" i="26" s="1"/>
  <c r="F12" i="1"/>
  <c r="F26" i="26" s="1"/>
  <c r="D26" i="2"/>
  <c r="F26" i="2"/>
  <c r="C26" i="2"/>
  <c r="D23" i="2"/>
  <c r="F23" i="2"/>
  <c r="D24" i="2"/>
  <c r="F24" i="2"/>
  <c r="C24" i="2"/>
  <c r="C23" i="2"/>
  <c r="D18" i="2"/>
  <c r="E18" i="2"/>
  <c r="E24" i="2" s="1"/>
  <c r="F18" i="2"/>
  <c r="C18" i="2"/>
  <c r="D11" i="2"/>
  <c r="E11" i="2"/>
  <c r="E23" i="2" s="1"/>
  <c r="F11" i="2"/>
  <c r="C11" i="2"/>
  <c r="F60" i="18"/>
  <c r="F7" i="21"/>
  <c r="F8" i="14"/>
  <c r="G13" i="14" s="1"/>
  <c r="G48" i="14" s="1"/>
  <c r="K6" i="23" l="1"/>
  <c r="E26" i="2"/>
  <c r="E23" i="26"/>
  <c r="L3" i="23"/>
  <c r="F19" i="26"/>
  <c r="E19" i="26"/>
  <c r="C19" i="26"/>
  <c r="D19" i="26"/>
  <c r="E99" i="27"/>
  <c r="F99" i="27"/>
  <c r="F13" i="14"/>
  <c r="F5" i="9"/>
  <c r="F13" i="9" s="1"/>
  <c r="F13" i="12"/>
  <c r="F5" i="8"/>
  <c r="F12" i="8" s="1"/>
  <c r="F13" i="7"/>
  <c r="F82" i="22"/>
  <c r="F84" i="22" s="1"/>
  <c r="F26" i="11"/>
  <c r="F28" i="1"/>
  <c r="F24" i="6"/>
  <c r="F27" i="6" s="1"/>
  <c r="F25" i="6"/>
  <c r="F9" i="6"/>
  <c r="D19" i="6"/>
  <c r="D25" i="6" s="1"/>
  <c r="D18" i="5"/>
  <c r="D24" i="5" s="1"/>
  <c r="E18" i="5"/>
  <c r="E24" i="5" s="1"/>
  <c r="F18" i="5"/>
  <c r="F24" i="5" s="1"/>
  <c r="C18" i="5"/>
  <c r="C24" i="5" s="1"/>
  <c r="D9" i="5"/>
  <c r="E9" i="5"/>
  <c r="F9" i="5"/>
  <c r="C9" i="5"/>
  <c r="D13" i="4"/>
  <c r="E13" i="4"/>
  <c r="F13" i="4"/>
  <c r="F27" i="4" s="1"/>
  <c r="C13" i="4"/>
  <c r="D22" i="4"/>
  <c r="D28" i="4" s="1"/>
  <c r="E22" i="4"/>
  <c r="E28" i="4" s="1"/>
  <c r="F22" i="4"/>
  <c r="F28" i="4" s="1"/>
  <c r="C22" i="4"/>
  <c r="C28" i="4" s="1"/>
  <c r="F13" i="15"/>
  <c r="F12" i="15"/>
  <c r="F11" i="15"/>
  <c r="F10" i="15"/>
  <c r="F29" i="1"/>
  <c r="D28" i="1"/>
  <c r="E29" i="1"/>
  <c r="E28" i="1"/>
  <c r="C12" i="1"/>
  <c r="D29" i="1"/>
  <c r="C23" i="1"/>
  <c r="C29" i="1" s="1"/>
  <c r="E84" i="22"/>
  <c r="E22" i="10"/>
  <c r="E28" i="10" s="1"/>
  <c r="F22" i="10"/>
  <c r="F28" i="10" s="1"/>
  <c r="E51" i="7"/>
  <c r="E57" i="7" s="1"/>
  <c r="E13" i="7"/>
  <c r="E56" i="3"/>
  <c r="F56" i="3"/>
  <c r="D63" i="21"/>
  <c r="D69" i="21" s="1"/>
  <c r="E63" i="21"/>
  <c r="F63" i="21"/>
  <c r="F69" i="21" s="1"/>
  <c r="D12" i="21"/>
  <c r="D68" i="21" s="1"/>
  <c r="E12" i="21"/>
  <c r="E68" i="21" s="1"/>
  <c r="F12" i="21"/>
  <c r="F68" i="21" s="1"/>
  <c r="D14" i="25"/>
  <c r="D5" i="23" s="1"/>
  <c r="E14" i="25"/>
  <c r="F5" i="23" s="1"/>
  <c r="F14" i="25"/>
  <c r="H5" i="23" s="1"/>
  <c r="D48" i="20"/>
  <c r="D54" i="20" s="1"/>
  <c r="E48" i="20"/>
  <c r="E54" i="20" s="1"/>
  <c r="F48" i="20"/>
  <c r="F54" i="20" s="1"/>
  <c r="D13" i="20"/>
  <c r="D53" i="20" s="1"/>
  <c r="E13" i="20"/>
  <c r="E53" i="20" s="1"/>
  <c r="F13" i="20"/>
  <c r="F53" i="20" s="1"/>
  <c r="D91" i="24"/>
  <c r="E91" i="24"/>
  <c r="F91" i="24"/>
  <c r="D57" i="19"/>
  <c r="D63" i="19" s="1"/>
  <c r="E57" i="19"/>
  <c r="E63" i="19" s="1"/>
  <c r="F57" i="19"/>
  <c r="F63" i="19" s="1"/>
  <c r="D13" i="19"/>
  <c r="D62" i="19" s="1"/>
  <c r="E13" i="19"/>
  <c r="E62" i="19" s="1"/>
  <c r="F13" i="19"/>
  <c r="F62" i="19" s="1"/>
  <c r="L53" i="24"/>
  <c r="D53" i="18"/>
  <c r="D59" i="18" s="1"/>
  <c r="E53" i="18"/>
  <c r="E59" i="18" s="1"/>
  <c r="F53" i="18"/>
  <c r="F59" i="18" s="1"/>
  <c r="D13" i="18"/>
  <c r="D58" i="18" s="1"/>
  <c r="E13" i="18"/>
  <c r="E58" i="18" s="1"/>
  <c r="F13" i="18"/>
  <c r="F58" i="18" s="1"/>
  <c r="D19" i="24"/>
  <c r="E19" i="24"/>
  <c r="F19" i="24"/>
  <c r="L18" i="24" s="1"/>
  <c r="D43" i="14"/>
  <c r="D49" i="14" s="1"/>
  <c r="E43" i="14"/>
  <c r="E49" i="14" s="1"/>
  <c r="F43" i="14"/>
  <c r="F49" i="14" s="1"/>
  <c r="D13" i="14"/>
  <c r="E13" i="14"/>
  <c r="D27" i="9"/>
  <c r="D33" i="9" s="1"/>
  <c r="E27" i="9"/>
  <c r="E33" i="9" s="1"/>
  <c r="F27" i="9"/>
  <c r="F33" i="9" s="1"/>
  <c r="D13" i="9"/>
  <c r="E13" i="9"/>
  <c r="D45" i="13"/>
  <c r="D51" i="13" s="1"/>
  <c r="C45" i="13"/>
  <c r="C51" i="13" s="1"/>
  <c r="E45" i="13"/>
  <c r="E51" i="13" s="1"/>
  <c r="F45" i="13"/>
  <c r="F51" i="13" s="1"/>
  <c r="D13" i="13"/>
  <c r="E13" i="13"/>
  <c r="F13" i="13"/>
  <c r="D46" i="12"/>
  <c r="D52" i="12" s="1"/>
  <c r="E46" i="12"/>
  <c r="E52" i="12" s="1"/>
  <c r="F46" i="12"/>
  <c r="F52" i="12" s="1"/>
  <c r="D13" i="12"/>
  <c r="E13" i="12"/>
  <c r="D42" i="8"/>
  <c r="D48" i="8" s="1"/>
  <c r="E42" i="8"/>
  <c r="E48" i="8" s="1"/>
  <c r="F42" i="8"/>
  <c r="F48" i="8" s="1"/>
  <c r="D12" i="8"/>
  <c r="E12" i="8"/>
  <c r="D21" i="11"/>
  <c r="D27" i="11" s="1"/>
  <c r="C21" i="11"/>
  <c r="C27" i="11" s="1"/>
  <c r="E21" i="11"/>
  <c r="E27" i="11" s="1"/>
  <c r="F21" i="11"/>
  <c r="F27" i="11" s="1"/>
  <c r="D6" i="11"/>
  <c r="D26" i="11" s="1"/>
  <c r="E6" i="11"/>
  <c r="F6" i="11"/>
  <c r="C51" i="7"/>
  <c r="C57" i="7" s="1"/>
  <c r="F51" i="7"/>
  <c r="F57" i="7" s="1"/>
  <c r="D13" i="10"/>
  <c r="E13" i="10"/>
  <c r="F13" i="10"/>
  <c r="D22" i="10"/>
  <c r="D28" i="10" s="1"/>
  <c r="C22" i="10"/>
  <c r="C28" i="10" s="1"/>
  <c r="E19" i="6"/>
  <c r="E25" i="6" s="1"/>
  <c r="F19" i="6"/>
  <c r="D9" i="6"/>
  <c r="D24" i="6" s="1"/>
  <c r="E9" i="6"/>
  <c r="D25" i="15"/>
  <c r="D31" i="15" s="1"/>
  <c r="D33" i="15" s="1"/>
  <c r="E25" i="15"/>
  <c r="E31" i="15" s="1"/>
  <c r="E33" i="15" s="1"/>
  <c r="C14" i="3"/>
  <c r="C51" i="3"/>
  <c r="C57" i="3" s="1"/>
  <c r="E57" i="3"/>
  <c r="C63" i="21"/>
  <c r="C69" i="21" s="1"/>
  <c r="C12" i="21"/>
  <c r="C68" i="21" s="1"/>
  <c r="C14" i="25"/>
  <c r="B5" i="23" s="1"/>
  <c r="C48" i="20"/>
  <c r="C54" i="20" s="1"/>
  <c r="C13" i="20"/>
  <c r="C53" i="20" s="1"/>
  <c r="C91" i="24"/>
  <c r="C13" i="19"/>
  <c r="C62" i="19" s="1"/>
  <c r="C57" i="19"/>
  <c r="C63" i="19" s="1"/>
  <c r="C53" i="18"/>
  <c r="C59" i="18" s="1"/>
  <c r="C58" i="18"/>
  <c r="C19" i="24"/>
  <c r="C43" i="14"/>
  <c r="C49" i="14" s="1"/>
  <c r="C13" i="14"/>
  <c r="C27" i="9"/>
  <c r="C33" i="9" s="1"/>
  <c r="C13" i="9"/>
  <c r="C13" i="13"/>
  <c r="C46" i="12"/>
  <c r="C52" i="12" s="1"/>
  <c r="C13" i="12"/>
  <c r="C42" i="8"/>
  <c r="C48" i="8" s="1"/>
  <c r="C12" i="8"/>
  <c r="C6" i="11"/>
  <c r="C26" i="11" s="1"/>
  <c r="C13" i="7"/>
  <c r="C13" i="10"/>
  <c r="C19" i="6"/>
  <c r="C25" i="6" s="1"/>
  <c r="C9" i="6"/>
  <c r="C24" i="6" s="1"/>
  <c r="C25" i="15"/>
  <c r="C31" i="15" s="1"/>
  <c r="C33" i="15" s="1"/>
  <c r="B3" i="23"/>
  <c r="E11" i="17"/>
  <c r="D11" i="17"/>
  <c r="C11" i="17"/>
  <c r="B11" i="17"/>
  <c r="C7" i="17"/>
  <c r="D7" i="17"/>
  <c r="E7" i="17"/>
  <c r="B7" i="17"/>
  <c r="D47" i="8" l="1"/>
  <c r="D50" i="8" s="1"/>
  <c r="D50" i="26"/>
  <c r="C47" i="8"/>
  <c r="C50" i="8" s="1"/>
  <c r="C50" i="26"/>
  <c r="F47" i="8"/>
  <c r="F50" i="8" s="1"/>
  <c r="F50" i="26"/>
  <c r="E47" i="8"/>
  <c r="E50" i="8" s="1"/>
  <c r="E50" i="26"/>
  <c r="E26" i="11"/>
  <c r="E47" i="26"/>
  <c r="E24" i="6"/>
  <c r="E27" i="6" s="1"/>
  <c r="E38" i="26"/>
  <c r="E59" i="3"/>
  <c r="E31" i="1"/>
  <c r="C28" i="1"/>
  <c r="C26" i="26"/>
  <c r="F4" i="23"/>
  <c r="C66" i="19"/>
  <c r="C16" i="28" s="1"/>
  <c r="E48" i="14"/>
  <c r="E62" i="26"/>
  <c r="C48" i="14"/>
  <c r="C62" i="26"/>
  <c r="F48" i="14"/>
  <c r="F62" i="26"/>
  <c r="D48" i="14"/>
  <c r="D62" i="26"/>
  <c r="F32" i="9"/>
  <c r="F36" i="9" s="1"/>
  <c r="F59" i="26"/>
  <c r="C32" i="9"/>
  <c r="C36" i="9" s="1"/>
  <c r="C59" i="26"/>
  <c r="E32" i="9"/>
  <c r="E36" i="9" s="1"/>
  <c r="E59" i="26"/>
  <c r="D32" i="9"/>
  <c r="D59" i="26"/>
  <c r="F51" i="12"/>
  <c r="F53" i="26"/>
  <c r="E51" i="12"/>
  <c r="E54" i="12" s="1"/>
  <c r="E53" i="26"/>
  <c r="C51" i="12"/>
  <c r="C54" i="12" s="1"/>
  <c r="C53" i="26"/>
  <c r="D51" i="12"/>
  <c r="D54" i="12" s="1"/>
  <c r="D53" i="26"/>
  <c r="F27" i="10"/>
  <c r="F30" i="10" s="1"/>
  <c r="F41" i="26"/>
  <c r="C27" i="10"/>
  <c r="C30" i="10" s="1"/>
  <c r="C41" i="26"/>
  <c r="E27" i="10"/>
  <c r="E30" i="10" s="1"/>
  <c r="E41" i="26"/>
  <c r="D27" i="10"/>
  <c r="D30" i="10" s="1"/>
  <c r="D41" i="26"/>
  <c r="C27" i="4"/>
  <c r="C32" i="26"/>
  <c r="E27" i="4"/>
  <c r="E30" i="4" s="1"/>
  <c r="E32" i="26"/>
  <c r="D27" i="4"/>
  <c r="D32" i="26"/>
  <c r="C56" i="3"/>
  <c r="C59" i="3" s="1"/>
  <c r="C29" i="26"/>
  <c r="H3" i="23"/>
  <c r="F50" i="13"/>
  <c r="F55" i="13" s="1"/>
  <c r="I3" i="23" s="1"/>
  <c r="F56" i="26"/>
  <c r="E50" i="13"/>
  <c r="E55" i="13" s="1"/>
  <c r="E56" i="26"/>
  <c r="D50" i="13"/>
  <c r="D55" i="13" s="1"/>
  <c r="D56" i="26"/>
  <c r="C50" i="13"/>
  <c r="C55" i="13" s="1"/>
  <c r="C56" i="26"/>
  <c r="F56" i="7"/>
  <c r="F59" i="7" s="1"/>
  <c r="F44" i="26"/>
  <c r="C56" i="7"/>
  <c r="C59" i="7" s="1"/>
  <c r="C44" i="26"/>
  <c r="E56" i="7"/>
  <c r="E59" i="7" s="1"/>
  <c r="E44" i="26"/>
  <c r="C23" i="5"/>
  <c r="C26" i="5" s="1"/>
  <c r="C35" i="26"/>
  <c r="F23" i="5"/>
  <c r="F35" i="26"/>
  <c r="E23" i="5"/>
  <c r="E26" i="5" s="1"/>
  <c r="E35" i="26"/>
  <c r="D23" i="5"/>
  <c r="D35" i="26"/>
  <c r="E69" i="21"/>
  <c r="E72" i="21" s="1"/>
  <c r="C72" i="21"/>
  <c r="H4" i="23"/>
  <c r="F29" i="11"/>
  <c r="F54" i="12"/>
  <c r="F56" i="20"/>
  <c r="F18" i="28" s="1"/>
  <c r="F72" i="21"/>
  <c r="F62" i="18"/>
  <c r="F14" i="28" s="1"/>
  <c r="F66" i="19"/>
  <c r="D72" i="21"/>
  <c r="E66" i="19"/>
  <c r="E16" i="28" s="1"/>
  <c r="F30" i="4"/>
  <c r="C30" i="4"/>
  <c r="C31" i="1"/>
  <c r="D31" i="1"/>
  <c r="F31" i="1"/>
  <c r="F26" i="5"/>
  <c r="D26" i="5"/>
  <c r="D30" i="4"/>
  <c r="D56" i="20"/>
  <c r="D18" i="28" s="1"/>
  <c r="E56" i="20"/>
  <c r="E18" i="28" s="1"/>
  <c r="D36" i="9"/>
  <c r="D29" i="11"/>
  <c r="F25" i="15"/>
  <c r="F31" i="15" s="1"/>
  <c r="F33" i="15" s="1"/>
  <c r="F57" i="3"/>
  <c r="F59" i="3" s="1"/>
  <c r="F3" i="23"/>
  <c r="E96" i="24"/>
  <c r="J96" i="24" s="1"/>
  <c r="D4" i="23"/>
  <c r="D66" i="19"/>
  <c r="D16" i="28" s="1"/>
  <c r="D62" i="18"/>
  <c r="D14" i="28" s="1"/>
  <c r="E62" i="18"/>
  <c r="E14" i="28" s="1"/>
  <c r="E29" i="11"/>
  <c r="D27" i="6"/>
  <c r="C56" i="20"/>
  <c r="C18" i="28" s="1"/>
  <c r="C62" i="18"/>
  <c r="C14" i="28" s="1"/>
  <c r="B4" i="23"/>
  <c r="C27" i="6"/>
  <c r="D3" i="23"/>
  <c r="C29" i="11"/>
  <c r="E3" i="23" l="1"/>
  <c r="C3" i="23"/>
  <c r="G3" i="23"/>
  <c r="F16" i="28"/>
  <c r="G96" i="24"/>
  <c r="D68" i="26"/>
  <c r="D114" i="26" s="1"/>
  <c r="C68" i="26"/>
  <c r="C114" i="26" s="1"/>
  <c r="E68" i="26"/>
  <c r="E114" i="26" s="1"/>
  <c r="F68" i="26"/>
  <c r="F114" i="26" s="1"/>
  <c r="J27" i="26"/>
  <c r="G5" i="23"/>
  <c r="E20" i="28"/>
  <c r="E22" i="28" s="1"/>
  <c r="E5" i="23"/>
  <c r="D20" i="28"/>
  <c r="D22" i="28" s="1"/>
  <c r="I5" i="23"/>
  <c r="F20" i="28"/>
  <c r="C5" i="23"/>
  <c r="C20" i="28"/>
  <c r="C22" i="28" s="1"/>
  <c r="C4" i="23"/>
  <c r="E4" i="23"/>
  <c r="I4" i="23"/>
  <c r="F96" i="24"/>
  <c r="G4" i="23"/>
  <c r="F22" i="28" l="1"/>
  <c r="C115" i="26"/>
  <c r="L27" i="26"/>
  <c r="J28" i="26"/>
  <c r="J29" i="26" s="1"/>
  <c r="I6" i="23"/>
</calcChain>
</file>

<file path=xl/sharedStrings.xml><?xml version="1.0" encoding="utf-8"?>
<sst xmlns="http://schemas.openxmlformats.org/spreadsheetml/2006/main" count="1930" uniqueCount="456">
  <si>
    <t>Town Manager</t>
  </si>
  <si>
    <t>Account #</t>
  </si>
  <si>
    <t>Account Description</t>
  </si>
  <si>
    <t>FY 2025 
Proposed Budget</t>
  </si>
  <si>
    <t>FY 2024 
Adopted Budget</t>
  </si>
  <si>
    <t>FY 2023 
Actuals</t>
  </si>
  <si>
    <t>FY 2022 
Actuals</t>
  </si>
  <si>
    <t>Personnel</t>
  </si>
  <si>
    <t>OPERATING EXPENDITURES</t>
  </si>
  <si>
    <t>PERSONNEL EXPENDITURES</t>
  </si>
  <si>
    <t>Sub-Total For Personnel</t>
  </si>
  <si>
    <t>Sub-Total For Operating</t>
  </si>
  <si>
    <t>Expense Category</t>
  </si>
  <si>
    <t xml:space="preserve">Personnel Expenditures </t>
  </si>
  <si>
    <t>Operating Expenditures</t>
  </si>
  <si>
    <t>Capital Machinery and Equipment</t>
  </si>
  <si>
    <t>Total for All Categories of Expenses</t>
  </si>
  <si>
    <t>Finance</t>
  </si>
  <si>
    <t>Human Resources</t>
  </si>
  <si>
    <t>Legal Services</t>
  </si>
  <si>
    <t>Information Technology</t>
  </si>
  <si>
    <t>Richlands Police Department</t>
  </si>
  <si>
    <t>Richlands Fire Department</t>
  </si>
  <si>
    <t>Community Development</t>
  </si>
  <si>
    <t>RPD Narcotics Taskforce</t>
  </si>
  <si>
    <t>Richlands Rescue Department</t>
  </si>
  <si>
    <t>Public Works Street Maintenance</t>
  </si>
  <si>
    <t>Parks and Recreation</t>
  </si>
  <si>
    <t>Non-Departmental</t>
  </si>
  <si>
    <t>Debt Service</t>
  </si>
  <si>
    <t>Water Treatment Plant</t>
  </si>
  <si>
    <t>Expenditures</t>
  </si>
  <si>
    <t>Operating</t>
  </si>
  <si>
    <t>Capital</t>
  </si>
  <si>
    <t>Total Expenditures</t>
  </si>
  <si>
    <t>Revenues</t>
  </si>
  <si>
    <t>Charges and Fees</t>
  </si>
  <si>
    <t>Miscellaneous/Other</t>
  </si>
  <si>
    <t>Total Revenues</t>
  </si>
  <si>
    <t>Staffing</t>
  </si>
  <si>
    <t>FTE positions</t>
  </si>
  <si>
    <t>FY 2022
Actuals</t>
  </si>
  <si>
    <t>FY 2025 
Porposed Budget</t>
  </si>
  <si>
    <t>Expense Summary</t>
  </si>
  <si>
    <t>Personnel Expenses</t>
  </si>
  <si>
    <t>Operating Expenses</t>
  </si>
  <si>
    <t>Capital Expenses</t>
  </si>
  <si>
    <t>Total Budget</t>
  </si>
  <si>
    <t>TOTAL EXPERNDITURES</t>
  </si>
  <si>
    <t>Capital Expenditures</t>
  </si>
  <si>
    <t>Richlands Revenues</t>
  </si>
  <si>
    <t>General Fund Revenues</t>
  </si>
  <si>
    <t>REAL ESTATE TAXES</t>
  </si>
  <si>
    <t>R E TAX BUDGET</t>
  </si>
  <si>
    <t>R.E. TAXES PRO RATA</t>
  </si>
  <si>
    <t>DELINQUENT TAXES</t>
  </si>
  <si>
    <t>PENALTIES ON TAXES</t>
  </si>
  <si>
    <t>INTEREST ON TAXES</t>
  </si>
  <si>
    <t>PUBLIC SERVICE TAXES</t>
  </si>
  <si>
    <t>BANK STOCK TAXES</t>
  </si>
  <si>
    <t>BUSINESS LICENSES</t>
  </si>
  <si>
    <t>MOTOR VEHICLE LICENSES</t>
  </si>
  <si>
    <t>MOBILE HOME LICENSE</t>
  </si>
  <si>
    <t>PERSONAL PROPERTY TAX</t>
  </si>
  <si>
    <t>CIGARETTE TAX</t>
  </si>
  <si>
    <t>ZONING PERMITS</t>
  </si>
  <si>
    <t>COURT FINES &amp; FOREFEITURE</t>
  </si>
  <si>
    <t>E-CITATION COLLECTIONS</t>
  </si>
  <si>
    <t>INTEREST INCOME</t>
  </si>
  <si>
    <t>CONTRACT WORK-STREET</t>
  </si>
  <si>
    <t>SALE OF SALVAGE &amp; SURPLUS</t>
  </si>
  <si>
    <t>GAIN/LOSS ON ASSET DISPOSAL</t>
  </si>
  <si>
    <t>FIRE/RESCUE CONTRACTS</t>
  </si>
  <si>
    <t>RESCUE SQUAD BILLING REVENUE</t>
  </si>
  <si>
    <t>RESCUE BAD DEBT COLLECTIONS</t>
  </si>
  <si>
    <t>SWIMMING POOL FEES</t>
  </si>
  <si>
    <t>CONCESSION COLL</t>
  </si>
  <si>
    <t>BASKETBALL FEES</t>
  </si>
  <si>
    <t>OUTDOOR TENNIS FEES</t>
  </si>
  <si>
    <t>MEMBERSHIP FEES</t>
  </si>
  <si>
    <t>WEIGHT ROOM FEES</t>
  </si>
  <si>
    <t>ROOM RENTAL UPSTAIRS</t>
  </si>
  <si>
    <t>SHELTER RENTAL FEES</t>
  </si>
  <si>
    <t>MISC RECREATION REVENUE</t>
  </si>
  <si>
    <t>REC TOURNAMENTS/EVENTS</t>
  </si>
  <si>
    <t>VOLLEYBALL FEES</t>
  </si>
  <si>
    <t>GARBAGE COLLECTIONS</t>
  </si>
  <si>
    <t>PENALTIES</t>
  </si>
  <si>
    <t>STATE-LOCAL TAX</t>
  </si>
  <si>
    <t>CONSUMER/CONSUMPTION UTILITY TAX</t>
  </si>
  <si>
    <t>CONVENIENCE FEE</t>
  </si>
  <si>
    <t>MISCELLANEOUS REVENUE</t>
  </si>
  <si>
    <t>GIFTS &amp; DONATIONS-PVT</t>
  </si>
  <si>
    <t>RETURN CHECK FEES</t>
  </si>
  <si>
    <t>DNTN &amp; COMM DEVELOP REVENUE</t>
  </si>
  <si>
    <t>COMM &amp; CIVIC PROG REVENUE</t>
  </si>
  <si>
    <t>DONATIONS &amp; MISC-FIRE</t>
  </si>
  <si>
    <t>GIFTS &amp; DONATIONS-REC</t>
  </si>
  <si>
    <t>GIFTS &amp; DONATIONS-POLICE</t>
  </si>
  <si>
    <t>DONATIONS &amp; MISC-RESCUE</t>
  </si>
  <si>
    <t>MISCELLANEOUS REVENUE-POLICE</t>
  </si>
  <si>
    <t>RESTITUTION</t>
  </si>
  <si>
    <t>SALES TAX PROCEEDS</t>
  </si>
  <si>
    <t>MOTOR VEHICLE CARRIER TAX</t>
  </si>
  <si>
    <t>MOBILE HOME TITLING TAX</t>
  </si>
  <si>
    <t>COMM OF VA LAW ENFORCEMNT</t>
  </si>
  <si>
    <t>STREET &amp; HWGY MAINT.</t>
  </si>
  <si>
    <t>LITTER CONTROL</t>
  </si>
  <si>
    <t>BLOCK GRANT-LLEB/POLICE</t>
  </si>
  <si>
    <t>POLICE GRANTS-OTHER</t>
  </si>
  <si>
    <t>DRUG ENFORCEMENT &amp; PROSEC</t>
  </si>
  <si>
    <t>HIDTA FED GRANT</t>
  </si>
  <si>
    <t>RESTITUTION-NTF BUY MONEY</t>
  </si>
  <si>
    <t>EMS GRANTS</t>
  </si>
  <si>
    <t>FIRE GRANTS</t>
  </si>
  <si>
    <t>OTHER STATE/FED REVENUE</t>
  </si>
  <si>
    <t>OTHER FINANCING SOURCES-CAPITAL LEASE</t>
  </si>
  <si>
    <t>TRANSFER IN FROM UT-ADM COST</t>
  </si>
  <si>
    <t>TRANSFER IN FROM UT-IT COST</t>
  </si>
  <si>
    <t>SALARIES AND WAGES</t>
  </si>
  <si>
    <t>TOWN ATTORNEY</t>
  </si>
  <si>
    <t>CLERK SALARY</t>
  </si>
  <si>
    <t>INS SOCIAL SECURITY</t>
  </si>
  <si>
    <t>INS HEALTH</t>
  </si>
  <si>
    <t>INS WORKMENS COMPENSATION</t>
  </si>
  <si>
    <t>MISCELLANEOUS</t>
  </si>
  <si>
    <t>SPECIAL STUDIES</t>
  </si>
  <si>
    <t>TOWN EVENTS</t>
  </si>
  <si>
    <t>TOWN MANAGER SALARY</t>
  </si>
  <si>
    <t>INS.-LIFE</t>
  </si>
  <si>
    <t>INS.-RETIREMENT PLAN</t>
  </si>
  <si>
    <t>VRS-VLDP</t>
  </si>
  <si>
    <t>INS GEN LIABILITY/BLDG</t>
  </si>
  <si>
    <t>INS AUTO</t>
  </si>
  <si>
    <t>CASH OVER &amp; SHORT</t>
  </si>
  <si>
    <t>CONTRACT CONSULTANT</t>
  </si>
  <si>
    <t>AUDITING &amp; LEGAL</t>
  </si>
  <si>
    <t>CIGARETTE STAMPS</t>
  </si>
  <si>
    <t>PRINTING &amp; BINDING</t>
  </si>
  <si>
    <t>TAX FORMS</t>
  </si>
  <si>
    <t>DUES &amp; MERBERSHIP</t>
  </si>
  <si>
    <t>ADVERTISING</t>
  </si>
  <si>
    <t>OFFICE SUPPLIES</t>
  </si>
  <si>
    <t>POSTAGE</t>
  </si>
  <si>
    <t>CARD PROCESSING  CHGS/ACH FEES</t>
  </si>
  <si>
    <t>TELEPHONE/INTERNET/COMM</t>
  </si>
  <si>
    <t>TRAINING EXPENSE</t>
  </si>
  <si>
    <t>EQUIPMENT MAINTENANCE</t>
  </si>
  <si>
    <t>IT SERVICE/EQ</t>
  </si>
  <si>
    <t>VEHICLE MAINT-INSIDE</t>
  </si>
  <si>
    <t>VEHICLE MAINT-OUTISDE</t>
  </si>
  <si>
    <t>MOTOR FUEL &amp; LUBRICATION</t>
  </si>
  <si>
    <t>EQUIPMENT</t>
  </si>
  <si>
    <t>BUILDING REPAIRS/ADDITION</t>
  </si>
  <si>
    <t>GROUNDS &amp; FACILITIES</t>
  </si>
  <si>
    <t>SUPPLIES &amp; MATERIALS</t>
  </si>
  <si>
    <t>CLEANING SUPPLIES</t>
  </si>
  <si>
    <t>ELECTRICITY</t>
  </si>
  <si>
    <t>WATER</t>
  </si>
  <si>
    <t>SEWER</t>
  </si>
  <si>
    <t>GARBAGE</t>
  </si>
  <si>
    <t>BUS TRANSIT</t>
  </si>
  <si>
    <t>CUSTODIAN SERVICE</t>
  </si>
  <si>
    <t>EMPLOYEE APPRECIATION</t>
  </si>
  <si>
    <t>IT SERVICE/MAINTENANCE</t>
  </si>
  <si>
    <t>RETIREMENT OF DEBT</t>
  </si>
  <si>
    <t>CONTRACT LABOR</t>
  </si>
  <si>
    <t>INTEREST EXPENSE</t>
  </si>
  <si>
    <t>INS LIFE</t>
  </si>
  <si>
    <t>FUEL</t>
  </si>
  <si>
    <t>UNIFORMS</t>
  </si>
  <si>
    <t>TWO-WAY RADIO MAINTENANCE</t>
  </si>
  <si>
    <t>OFFICE FURN &amp; FIXTURES</t>
  </si>
  <si>
    <t>INSURANCE-LAW ENFORCEMENT</t>
  </si>
  <si>
    <t>LINE OF DUTY PAYMENTS</t>
  </si>
  <si>
    <t>COURT COST</t>
  </si>
  <si>
    <t>EXTRADITION &amp; TRAVEL</t>
  </si>
  <si>
    <t>TASK FORCE DONATION</t>
  </si>
  <si>
    <t>REGIONAL JAIL</t>
  </si>
  <si>
    <t>SPECIAL PROJECTS</t>
  </si>
  <si>
    <t>INS.-FRINGE BENEFITS</t>
  </si>
  <si>
    <t>PROFESSIONAL SERVICES</t>
  </si>
  <si>
    <t>REIMBURSED MILEAGE</t>
  </si>
  <si>
    <t>HIDTA GRANT PURCHASES</t>
  </si>
  <si>
    <t>RADIO EQUIPMENT</t>
  </si>
  <si>
    <t>INSURANCE-FIRE CALLS</t>
  </si>
  <si>
    <t>FIRE PREV/SAFETY PRG</t>
  </si>
  <si>
    <t>REGULATORY REQUIREMENTS</t>
  </si>
  <si>
    <t>DUES/MERBERSHIP/SUBSCRIPTIONS</t>
  </si>
  <si>
    <t>MEDICAL SUPPLIES</t>
  </si>
  <si>
    <t>BILLING SERVICES/COLLECTIONS</t>
  </si>
  <si>
    <t>BAD DEBT COLLECTION FEE</t>
  </si>
  <si>
    <t>HEATING OIL/FUEL</t>
  </si>
  <si>
    <t>DUES/MERBERSHIP/SOFTWARE LICENSE FEES</t>
  </si>
  <si>
    <t>ENGINEERING</t>
  </si>
  <si>
    <t>LEASE PROP &amp; RIGHT OF WAY</t>
  </si>
  <si>
    <t>TRAFFIC SAFETY</t>
  </si>
  <si>
    <t>STORM DRAINAGE</t>
  </si>
  <si>
    <t>ST, BRIDGES, SIDEWALK MAINT</t>
  </si>
  <si>
    <t>SNOW &amp; ICE REMOVAL</t>
  </si>
  <si>
    <t>HAND TOOLS &amp; EQUIPMENT</t>
  </si>
  <si>
    <t>GARBAGE CONTAINERS</t>
  </si>
  <si>
    <t>CARD PROCESSING CHGS/FEES</t>
  </si>
  <si>
    <t>SWIMMING POOL SUPPLIES</t>
  </si>
  <si>
    <t>WM'S PARK MAINTENANCE</t>
  </si>
  <si>
    <t>CONCESSION STAND EXP</t>
  </si>
  <si>
    <t>SALES TAX-CONCESSION STAN</t>
  </si>
  <si>
    <t>CONTRACT WORK</t>
  </si>
  <si>
    <t>LIBRARY</t>
  </si>
  <si>
    <t>COAL MINERS MEM</t>
  </si>
  <si>
    <t>Chamber/CART Bldg.</t>
  </si>
  <si>
    <t>FARMERS MARKET</t>
  </si>
  <si>
    <t>VET/CENT/HIST</t>
  </si>
  <si>
    <t>SECTION HOUSE</t>
  </si>
  <si>
    <t>TEEN CENTER</t>
  </si>
  <si>
    <t xml:space="preserve"> </t>
  </si>
  <si>
    <t>General Fund</t>
  </si>
  <si>
    <t>Electric Fund</t>
  </si>
  <si>
    <t>FY 2022</t>
  </si>
  <si>
    <t>FY 2023</t>
  </si>
  <si>
    <t>FY 2024</t>
  </si>
  <si>
    <t>FY 2025</t>
  </si>
  <si>
    <t>DONATIONS</t>
  </si>
  <si>
    <t>LLEB BLOCK GRANT</t>
  </si>
  <si>
    <t>DMV MINI GRANTS</t>
  </si>
  <si>
    <t>OTHER GRANTS</t>
  </si>
  <si>
    <t>CONTRACT WORK-WATER PLANT</t>
  </si>
  <si>
    <t>WATER COLLECTIONS</t>
  </si>
  <si>
    <t>SERVICE CHARGES</t>
  </si>
  <si>
    <t>WATER TAPS</t>
  </si>
  <si>
    <t>INTEREST INCOME-WAT DEBT</t>
  </si>
  <si>
    <t>CEDAR BLUFF WATER COLL</t>
  </si>
  <si>
    <t>TAZ. PSA WATER COLL</t>
  </si>
  <si>
    <t>CEDAR BLUFF-Wat Debt</t>
  </si>
  <si>
    <t>TZ CO PSA-KENTS RIDGE</t>
  </si>
  <si>
    <t>CHEMICALS-TREATMENT</t>
  </si>
  <si>
    <t>INSTRUMENT CALIBRATION</t>
  </si>
  <si>
    <t>HEALTH DEPT ASSESSMENT</t>
  </si>
  <si>
    <t>WATER QUALITY TESTING</t>
  </si>
  <si>
    <t>PLANT PARTS</t>
  </si>
  <si>
    <t>CHEMICALS / SUPPLIES-LAB</t>
  </si>
  <si>
    <t>PAYMENT IN LIEU OF TAXES</t>
  </si>
  <si>
    <t>TRANSFER OUT-ADM EXPENSE (GF)</t>
  </si>
  <si>
    <t>TRANSFER OUT-IT EXPENSE (GF)</t>
  </si>
  <si>
    <t>WWTP-LAB TEST/SEPTIC TRET</t>
  </si>
  <si>
    <t>SEWER TAPS</t>
  </si>
  <si>
    <t>INTEREST INCOME-VRA</t>
  </si>
  <si>
    <t>CEDAR BLUFF SEWER COLL</t>
  </si>
  <si>
    <t>TZ CO PSA SEWER COLL</t>
  </si>
  <si>
    <t>PERMIT FEES</t>
  </si>
  <si>
    <t>WATER-LIFT STATION</t>
  </si>
  <si>
    <t>ELECTRICITY-LIFT STATION</t>
  </si>
  <si>
    <t>OUTSIDE LAB TESTING</t>
  </si>
  <si>
    <t>PLANT METERING &amp; INSTRU.</t>
  </si>
  <si>
    <t>OUTSIDE SLUDGE HAULING</t>
  </si>
  <si>
    <t>CONTRACT WORK-SEW/WAT LIN</t>
  </si>
  <si>
    <t>METERS &amp; RELATED EQ</t>
  </si>
  <si>
    <t>MISS UTILITY SERVICE FEES</t>
  </si>
  <si>
    <t>NEW MANHOLES &amp; SEWER LINE</t>
  </si>
  <si>
    <t>CORR OF I/I SEWER LINE</t>
  </si>
  <si>
    <t>NEW MAINS, LINES &amp; VALVES</t>
  </si>
  <si>
    <t>MAINS, LINES &amp; VALVE MAINT</t>
  </si>
  <si>
    <t>GRAVEL/STONE</t>
  </si>
  <si>
    <t>FIRE HYD/LINES</t>
  </si>
  <si>
    <t>BIRMINGHAM LIFT STATION</t>
  </si>
  <si>
    <t>UTILITY POLE PERMITS</t>
  </si>
  <si>
    <t>CONTRACT WORK-ELECTRIC</t>
  </si>
  <si>
    <t>POWER COST ADJUSTMENT</t>
  </si>
  <si>
    <t>POWER PURCHASED</t>
  </si>
  <si>
    <t>TRANSFORMERS &amp; EQUIP</t>
  </si>
  <si>
    <t>SAFETY EQ &amp; SUPPLIES</t>
  </si>
  <si>
    <t>STREET LIGHTING</t>
  </si>
  <si>
    <t>UTILITY POLES</t>
  </si>
  <si>
    <t>LOW VOLTAGE DISTRIBUTION</t>
  </si>
  <si>
    <t>HIGH VOLTAGE DISTRIBUTION</t>
  </si>
  <si>
    <t>SUBSTATION EQ.</t>
  </si>
  <si>
    <t>SUBSTATION MAINTENANCE</t>
  </si>
  <si>
    <t>FIBER OPTIC EQUIP/SUPPLY</t>
  </si>
  <si>
    <t>GLOVE/BLANKET TESTING</t>
  </si>
  <si>
    <t>GENERATOR O&amp;M</t>
  </si>
  <si>
    <t>VEHICLE TESTING-OUTSIDE</t>
  </si>
  <si>
    <t>R E TAX OVERPAYMENTS</t>
  </si>
  <si>
    <t>DELINQUENT PER PROPERTY TAXES</t>
  </si>
  <si>
    <t>PENALTIES ON PER PROPERTY TAXES</t>
  </si>
  <si>
    <t>INTEREST ON PERSONAL PROPERTY TAXES</t>
  </si>
  <si>
    <t>PARKING VIOLATIONS</t>
  </si>
  <si>
    <t>INDOOR TENNIS FEES</t>
  </si>
  <si>
    <t>PL-ST ASSET FORF REVENUE</t>
  </si>
  <si>
    <t>DOWNTOWN ACTIVITY</t>
  </si>
  <si>
    <t>MISC ELECTION EXP</t>
  </si>
  <si>
    <t>OVERTIME</t>
  </si>
  <si>
    <t>GREENWAY</t>
  </si>
  <si>
    <t>INTEREST ON BANK DEPOSITS</t>
  </si>
  <si>
    <t>FUND BALANCE ALLOCATION</t>
  </si>
  <si>
    <t>Total For Revenue</t>
  </si>
  <si>
    <t>PREPARED MEALS TAX</t>
  </si>
  <si>
    <t>Contract Paving</t>
  </si>
  <si>
    <t>Town Council</t>
  </si>
  <si>
    <t>HR</t>
  </si>
  <si>
    <t>Legal</t>
  </si>
  <si>
    <t>IT</t>
  </si>
  <si>
    <t>Comm Dev</t>
  </si>
  <si>
    <t>RPD</t>
  </si>
  <si>
    <t>Narc TF</t>
  </si>
  <si>
    <t>RFD</t>
  </si>
  <si>
    <t>Rescue</t>
  </si>
  <si>
    <t>Streets</t>
  </si>
  <si>
    <t>MSW</t>
  </si>
  <si>
    <t>Parks</t>
  </si>
  <si>
    <t>Non-D</t>
  </si>
  <si>
    <t>FY 2024 
Approved Budget</t>
  </si>
  <si>
    <t>General Fund Expenditures</t>
  </si>
  <si>
    <t>General Fund Personnel</t>
  </si>
  <si>
    <t>General Fund Operations</t>
  </si>
  <si>
    <t>General Fund Capital</t>
  </si>
  <si>
    <t>Sub-Total Real Estate Taxes</t>
  </si>
  <si>
    <t>Sub-Total Other Local Taxes</t>
  </si>
  <si>
    <t>Zoning Fees</t>
  </si>
  <si>
    <t>TOTAL GENERAL FUND</t>
  </si>
  <si>
    <t>GENERAL GOVERNMENT</t>
  </si>
  <si>
    <t>PUBLIC SAFETY</t>
  </si>
  <si>
    <t>PUBLIC WORKS</t>
  </si>
  <si>
    <t>NON-DEPARTMENTAL</t>
  </si>
  <si>
    <t>TOTAL ELECTRIC FUND EXPENSES</t>
  </si>
  <si>
    <t>TOTAL WATER FUND EXPENSES</t>
  </si>
  <si>
    <t>TOTAL WASTEWATER FUND EXPENSES</t>
  </si>
  <si>
    <t>GRAND TOTAL ALL FUNDS</t>
  </si>
  <si>
    <t>Town of Richlands Expenditure Summary</t>
  </si>
  <si>
    <t>TOTAL WATER DISTRIBUTION EXPENSES</t>
  </si>
  <si>
    <t>PARKS &amp; RECREATION</t>
  </si>
  <si>
    <t>Total</t>
  </si>
  <si>
    <t>Categories</t>
  </si>
  <si>
    <t>Department</t>
  </si>
  <si>
    <t>Water Fund Revenues</t>
  </si>
  <si>
    <t>Water &amp; Wastewater Distribution Revenues</t>
  </si>
  <si>
    <t>Water &amp; Wastewater Distribution Fund Revenues</t>
  </si>
  <si>
    <t>Wastewater Fund Revenues</t>
  </si>
  <si>
    <t>Revenue Totals</t>
  </si>
  <si>
    <t xml:space="preserve">Water &amp; Wastewater Distribution </t>
  </si>
  <si>
    <t xml:space="preserve">Electrical Fund </t>
  </si>
  <si>
    <t>TAZEWELL PSA</t>
  </si>
  <si>
    <t>OTHER REVNUE</t>
  </si>
  <si>
    <t>WASTEWATER COLLECTIONS</t>
  </si>
  <si>
    <t>CEDAR BLUFF COLLECTIONS</t>
  </si>
  <si>
    <t>TAZEWELL PSA COLLECTIONS</t>
  </si>
  <si>
    <t>OTHER REVNUES</t>
  </si>
  <si>
    <t>Electric Fund Revenues</t>
  </si>
  <si>
    <t>ELECTRIC COLLECTIONS</t>
  </si>
  <si>
    <t>FY 2026 Proposed Budget</t>
  </si>
  <si>
    <t>FY 2025 
Adopted Budget</t>
  </si>
  <si>
    <t>FY 2024 
Actuals</t>
  </si>
  <si>
    <t>VETERINARIAN SERVICES</t>
  </si>
  <si>
    <t>Towns match for new ambulance. Total cost is $345,872</t>
  </si>
  <si>
    <t>Increase for 2-stryker stair chairs</t>
  </si>
  <si>
    <t>FY 2026</t>
  </si>
  <si>
    <t xml:space="preserve">Capital FY 2028 </t>
  </si>
  <si>
    <t xml:space="preserve">  Crash and Pumper Trucks</t>
  </si>
  <si>
    <t>FY 2026 
Proposed Budget</t>
  </si>
  <si>
    <t>FY 2026
Proposed Budget</t>
  </si>
  <si>
    <t># of Customers</t>
  </si>
  <si>
    <t>Customer Charge $4 Monthly Increase</t>
  </si>
  <si>
    <t>Energy Increase</t>
  </si>
  <si>
    <t>Total Collections Increase</t>
  </si>
  <si>
    <t>Current Energy $ per KWH</t>
  </si>
  <si>
    <t>Proposed Energy $ per KWH</t>
  </si>
  <si>
    <t>Water, Wastewater and Lines Fund</t>
  </si>
  <si>
    <t>Wastewater Treatment Plant</t>
  </si>
  <si>
    <t>MEDICAL SUPPLIES PHARMACEUTICAL</t>
  </si>
  <si>
    <t>VDOT REIMBURSED EXPENSES</t>
  </si>
  <si>
    <t>Loader &amp; Grapple Truck Payments for FY 2026</t>
  </si>
  <si>
    <t>INS-VLDP</t>
  </si>
  <si>
    <t>EMPLOYEE VEHICLE</t>
  </si>
  <si>
    <t>RESTAURANT FOOD TAX</t>
  </si>
  <si>
    <t>BULK/BRUSH FEES</t>
  </si>
  <si>
    <t>Police Grants</t>
  </si>
  <si>
    <t>DMV</t>
  </si>
  <si>
    <t>FED/State Asset Forf</t>
  </si>
  <si>
    <t>NTF-STATE ASSET FORF EXPENSE</t>
  </si>
  <si>
    <t>PL-STATE ASSET FORF-DOJ EXPENSE</t>
  </si>
  <si>
    <t>PL-FED ASSET FORF-TRS. EXPENSE</t>
  </si>
  <si>
    <t>Sanitation</t>
  </si>
  <si>
    <t>Includes 10.3% increase.</t>
  </si>
  <si>
    <t>Includes FY 2025 increase.</t>
  </si>
  <si>
    <t>Includes K-9 Payment.</t>
  </si>
  <si>
    <t>Includes rescue tools.</t>
  </si>
  <si>
    <t>Proposed Unit Charge per 1,000 Gallons</t>
  </si>
  <si>
    <t>Total Billing Increase for 3,000 Gallons Usage</t>
  </si>
  <si>
    <t>Proposed Increase Example</t>
  </si>
  <si>
    <t>Current Unit Charge per 1,000 Gallons</t>
  </si>
  <si>
    <t>Total Billing Increase for 1,000 KWH Usage</t>
  </si>
  <si>
    <t xml:space="preserve">Includes part-time employees and one full-time position. </t>
  </si>
  <si>
    <t>Section House painting</t>
  </si>
  <si>
    <t>Salt contract is $35,000.</t>
  </si>
  <si>
    <t xml:space="preserve">  Floculator Rehab</t>
  </si>
  <si>
    <t>Capital FY 2026</t>
  </si>
  <si>
    <t>Includes radios 75% grant.</t>
  </si>
  <si>
    <t>Includes radios 25% grant match.</t>
  </si>
  <si>
    <t xml:space="preserve">  Upgrades - State Funded - $1.5M</t>
  </si>
  <si>
    <t xml:space="preserve">  Flusher (Jet Vet) Truck - $430K</t>
  </si>
  <si>
    <t xml:space="preserve">  Crew Truck - $80K - $90K</t>
  </si>
  <si>
    <t xml:space="preserve">  Generator - $14M; $6.6M YTD paid through note and unreserved balances</t>
  </si>
  <si>
    <t>Debt Service FY 2026</t>
  </si>
  <si>
    <t xml:space="preserve">  Upgrade - $10.9M</t>
  </si>
  <si>
    <t>Notes</t>
  </si>
  <si>
    <t>Does not include Web Page Design.</t>
  </si>
  <si>
    <t>Where are phones and Iworks charged?</t>
  </si>
  <si>
    <t>Wireless infrastructure support is expiring; $960 per year.  Current year upgrade is $8,000 - $9,000.  Located in Town Hall and Police Department.</t>
  </si>
  <si>
    <t>Firewall Protection upgrade or $14,500 in maintenance.</t>
  </si>
  <si>
    <t>Includes VRA Existing and Virginia Clean Water Revolving Loans.</t>
  </si>
  <si>
    <t>Includes autos.</t>
  </si>
  <si>
    <t>Proposed Monthly Increase Per KWH</t>
  </si>
  <si>
    <t>Proposed Monthly Increase Per 1,000 Gallons</t>
  </si>
  <si>
    <t>Includes Merchant McIntyre.</t>
  </si>
  <si>
    <t>Includes Allocation to Utilities for Merchant McIntyre.</t>
  </si>
  <si>
    <t xml:space="preserve">  Virginia Clean Water Revolving Loan Fund - $10,916,316 Principal and $2,734,864 Principal Forgiveness, 0.5% Interest Rate, Term 10 Years</t>
  </si>
  <si>
    <t xml:space="preserve">  Virginia Department of Health (We will request a reevaluation.) Estimate - $5,000,000 Principal, 4.0% Interest Rate, Term 10 Years</t>
  </si>
  <si>
    <t>Includes VRA Existing and Virginia Department of Health Loans.</t>
  </si>
  <si>
    <t>Includes three employees certification recognition.</t>
  </si>
  <si>
    <t>PARK MAINTENANCE</t>
  </si>
  <si>
    <t>SPORTS EXPENSES</t>
  </si>
  <si>
    <t>Vehicle; paid from unrestricted balance.</t>
  </si>
  <si>
    <t>Estimate is based on current run rate.</t>
  </si>
  <si>
    <t>Added $3,000 for new computers.</t>
  </si>
  <si>
    <t>Removed one-time note financing.</t>
  </si>
  <si>
    <t>Includes a $2,000 reduction from first draft, based on current run rate.</t>
  </si>
  <si>
    <t>Includes a $1,500 reduction from first draft, based on current run rate.</t>
  </si>
  <si>
    <t>This represents mowing and plowing overtime.</t>
  </si>
  <si>
    <t>Reclassed $4,500 to VDOT Reimbursed Exp.</t>
  </si>
  <si>
    <t>Reclassed $19,500 to VDOT Reimbursed Exp.</t>
  </si>
  <si>
    <t>Reclassed $40,000 to overtime for Tazewell Reimbursement.</t>
  </si>
  <si>
    <t>Represents retiree benefits.</t>
  </si>
  <si>
    <t>Reflects recent year cost increases.</t>
  </si>
  <si>
    <t>Calculation is based on deposits held at bank and historical total receipts.</t>
  </si>
  <si>
    <t xml:space="preserve">  First Bank &amp; Trust - $10,000,000 Principal, 5.34% Interest Rate</t>
  </si>
  <si>
    <t xml:space="preserve">  Tobacco Region Revitalization Commission - $2,000,000 Principal, 5.5% Interest Rate, Term 10 Years - Payments Begin FY 2027</t>
  </si>
  <si>
    <t>Includes First Bank &amp; Trust Note Payable Interest.</t>
  </si>
  <si>
    <t>Proposed Transfer from General Fund</t>
  </si>
  <si>
    <t>Includes 1 part time mower.  FY 2024 includes 10 people and FY 2026 includes 13 people.</t>
  </si>
  <si>
    <t>Includes elimination of one position.</t>
  </si>
  <si>
    <t>Includes 10.3% increase and elimination of one position.</t>
  </si>
  <si>
    <t>Tazewell PSA Allocation - 26%</t>
  </si>
  <si>
    <t>Cedar Bluff Allocation - 10%</t>
  </si>
  <si>
    <t>CEDAR BLUFF - UPGRADE DEBT</t>
  </si>
  <si>
    <t>NEW</t>
  </si>
  <si>
    <t>TZ CO PSA - UPGRADE DEBT</t>
  </si>
  <si>
    <t>Includes $0.01 reduction.</t>
  </si>
  <si>
    <t>Town of Richlands Revenue Summary</t>
  </si>
  <si>
    <t>Fiscal Year 2025 - 2026 Proposed Budget</t>
  </si>
  <si>
    <t>OTHER LOCAL TAXES</t>
  </si>
  <si>
    <t>FIRE AND RESCUE BILLING</t>
  </si>
  <si>
    <t>SOLID WASTE FEE</t>
  </si>
  <si>
    <t>COMMONWEALTH REVENUES</t>
  </si>
  <si>
    <t>OTHER REVENUES</t>
  </si>
  <si>
    <t>TOTAL WATER FUND REVENUES</t>
  </si>
  <si>
    <t>TOTAL WASTE WATER FUND REVENUES</t>
  </si>
  <si>
    <t>TOTAL ELECTRIC FUND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</si>
</sst>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_(&quot;$&quot;* #,##0.0_);_(&quot;$&quot;* \(#,##0.0\);_(&quot;$&quot;* &quot;-&quot;?_);_(@_)"/>
    <numFmt numFmtId="167" formatCode="&quot;$&quot;#,##0.00"/>
    <numFmt numFmtId="168" formatCode="0.0%"/>
    <numFmt numFmtId="169" formatCode="_(&quot;$&quot;* #,##0.00000_);_(&quot;$&quot;* \(#,##0.000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Garamond"/>
      <family val="1"/>
    </font>
    <font>
      <b/>
      <sz val="12"/>
      <color indexed="9"/>
      <name val="Georgia"/>
      <family val="1"/>
    </font>
    <font>
      <sz val="12"/>
      <color theme="1"/>
      <name val="Georgia"/>
      <family val="1"/>
    </font>
    <font>
      <sz val="28"/>
      <color theme="1"/>
      <name val="Georgia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2"/>
      <color indexed="11"/>
      <name val="Garamond"/>
      <family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Garamond"/>
      <family val="1"/>
    </font>
    <font>
      <sz val="26"/>
      <color theme="1"/>
      <name val="Garamond"/>
      <family val="1"/>
    </font>
    <font>
      <sz val="14"/>
      <name val="Garamond"/>
      <family val="1"/>
    </font>
    <font>
      <b/>
      <sz val="28"/>
      <color theme="1"/>
      <name val="Garamond"/>
      <family val="1"/>
    </font>
    <font>
      <b/>
      <sz val="14"/>
      <name val="Garamond"/>
      <family val="1"/>
    </font>
    <font>
      <sz val="14"/>
      <color theme="1"/>
      <name val="Georgia"/>
      <family val="1"/>
    </font>
    <font>
      <b/>
      <sz val="14"/>
      <color indexed="9"/>
      <name val="Georgia"/>
      <family val="1"/>
    </font>
    <font>
      <b/>
      <sz val="20"/>
      <color indexed="9"/>
      <name val="Georgia"/>
      <family val="1"/>
    </font>
    <font>
      <u/>
      <sz val="12"/>
      <color theme="1"/>
      <name val="Georgia"/>
      <family val="1"/>
    </font>
    <font>
      <u/>
      <sz val="16"/>
      <color theme="1"/>
      <name val="Calibri"/>
      <family val="2"/>
      <scheme val="minor"/>
    </font>
    <font>
      <b/>
      <u/>
      <sz val="14"/>
      <color theme="1"/>
      <name val="Georgia"/>
      <family val="1"/>
    </font>
    <font>
      <b/>
      <sz val="12"/>
      <color theme="1"/>
      <name val="Georgia"/>
      <family val="1"/>
    </font>
    <font>
      <sz val="11"/>
      <color rgb="FFFF0000"/>
      <name val="Calibri"/>
      <family val="2"/>
      <scheme val="minor"/>
    </font>
    <font>
      <sz val="12"/>
      <color rgb="FFFF0000"/>
      <name val="Georgia"/>
      <family val="1"/>
    </font>
    <font>
      <sz val="12"/>
      <name val="Georgia"/>
      <family val="1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2" borderId="1" xfId="0" applyFont="1" applyFill="1" applyBorder="1"/>
    <xf numFmtId="0" fontId="4" fillId="0" borderId="0" xfId="0" applyFont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indent="1"/>
    </xf>
    <xf numFmtId="0" fontId="7" fillId="3" borderId="4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/>
    <xf numFmtId="0" fontId="7" fillId="3" borderId="6" xfId="0" applyFont="1" applyFill="1" applyBorder="1"/>
    <xf numFmtId="0" fontId="7" fillId="3" borderId="6" xfId="0" applyFont="1" applyFill="1" applyBorder="1" applyAlignment="1">
      <alignment horizontal="left" indent="1"/>
    </xf>
    <xf numFmtId="0" fontId="2" fillId="2" borderId="7" xfId="0" applyFont="1" applyFill="1" applyBorder="1"/>
    <xf numFmtId="0" fontId="8" fillId="2" borderId="8" xfId="0" applyFont="1" applyFill="1" applyBorder="1" applyAlignment="1">
      <alignment horizontal="left" indent="1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left" indent="1"/>
    </xf>
    <xf numFmtId="0" fontId="9" fillId="4" borderId="0" xfId="0" applyFont="1" applyFill="1"/>
    <xf numFmtId="0" fontId="0" fillId="5" borderId="0" xfId="0" applyFill="1"/>
    <xf numFmtId="0" fontId="11" fillId="0" borderId="13" xfId="0" applyFont="1" applyBorder="1"/>
    <xf numFmtId="0" fontId="0" fillId="0" borderId="13" xfId="0" applyBorder="1"/>
    <xf numFmtId="0" fontId="10" fillId="0" borderId="13" xfId="0" applyFont="1" applyBorder="1" applyAlignment="1">
      <alignment horizontal="right"/>
    </xf>
    <xf numFmtId="165" fontId="0" fillId="0" borderId="13" xfId="0" applyNumberFormat="1" applyBorder="1"/>
    <xf numFmtId="0" fontId="9" fillId="4" borderId="0" xfId="0" applyFont="1" applyFill="1" applyAlignment="1">
      <alignment horizontal="center" wrapText="1"/>
    </xf>
    <xf numFmtId="0" fontId="10" fillId="5" borderId="0" xfId="0" applyFont="1" applyFill="1" applyAlignment="1">
      <alignment horizontal="left"/>
    </xf>
    <xf numFmtId="165" fontId="11" fillId="0" borderId="13" xfId="0" applyNumberFormat="1" applyFont="1" applyBorder="1" applyAlignment="1">
      <alignment horizontal="left"/>
    </xf>
    <xf numFmtId="0" fontId="10" fillId="0" borderId="14" xfId="0" applyFont="1" applyBorder="1" applyAlignment="1">
      <alignment horizontal="right"/>
    </xf>
    <xf numFmtId="165" fontId="11" fillId="0" borderId="14" xfId="0" applyNumberFormat="1" applyFont="1" applyBorder="1" applyAlignment="1">
      <alignment horizontal="left"/>
    </xf>
    <xf numFmtId="0" fontId="10" fillId="0" borderId="15" xfId="0" applyFont="1" applyBorder="1" applyAlignment="1">
      <alignment horizontal="right"/>
    </xf>
    <xf numFmtId="165" fontId="11" fillId="0" borderId="15" xfId="0" applyNumberFormat="1" applyFont="1" applyBorder="1" applyAlignment="1">
      <alignment horizontal="left"/>
    </xf>
    <xf numFmtId="0" fontId="6" fillId="0" borderId="3" xfId="0" applyFont="1" applyBorder="1"/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left" indent="1"/>
    </xf>
    <xf numFmtId="164" fontId="6" fillId="0" borderId="19" xfId="1" applyNumberFormat="1" applyFont="1" applyFill="1" applyBorder="1"/>
    <xf numFmtId="164" fontId="7" fillId="3" borderId="6" xfId="0" applyNumberFormat="1" applyFont="1" applyFill="1" applyBorder="1" applyAlignment="1">
      <alignment horizontal="left" indent="1"/>
    </xf>
    <xf numFmtId="164" fontId="7" fillId="3" borderId="12" xfId="0" applyNumberFormat="1" applyFont="1" applyFill="1" applyBorder="1" applyAlignment="1">
      <alignment horizontal="left" indent="1"/>
    </xf>
    <xf numFmtId="164" fontId="7" fillId="3" borderId="6" xfId="0" applyNumberFormat="1" applyFont="1" applyFill="1" applyBorder="1" applyAlignment="1">
      <alignment horizontal="right" indent="1"/>
    </xf>
    <xf numFmtId="0" fontId="12" fillId="0" borderId="0" xfId="0" applyFont="1"/>
    <xf numFmtId="165" fontId="12" fillId="0" borderId="0" xfId="0" applyNumberFormat="1" applyFont="1"/>
    <xf numFmtId="164" fontId="6" fillId="0" borderId="3" xfId="0" applyNumberFormat="1" applyFont="1" applyBorder="1" applyAlignment="1">
      <alignment horizontal="right" indent="1"/>
    </xf>
    <xf numFmtId="164" fontId="6" fillId="0" borderId="20" xfId="1" applyNumberFormat="1" applyFont="1" applyFill="1" applyBorder="1"/>
    <xf numFmtId="164" fontId="4" fillId="0" borderId="0" xfId="0" applyNumberFormat="1" applyFont="1"/>
    <xf numFmtId="164" fontId="6" fillId="6" borderId="5" xfId="1" applyNumberFormat="1" applyFont="1" applyFill="1" applyBorder="1"/>
    <xf numFmtId="44" fontId="4" fillId="0" borderId="0" xfId="0" applyNumberFormat="1" applyFont="1"/>
    <xf numFmtId="0" fontId="6" fillId="0" borderId="21" xfId="0" applyFont="1" applyBorder="1" applyAlignment="1">
      <alignment horizontal="left" indent="1"/>
    </xf>
    <xf numFmtId="164" fontId="6" fillId="0" borderId="13" xfId="1" applyNumberFormat="1" applyFont="1" applyFill="1" applyBorder="1"/>
    <xf numFmtId="164" fontId="6" fillId="7" borderId="5" xfId="1" applyNumberFormat="1" applyFont="1" applyFill="1" applyBorder="1"/>
    <xf numFmtId="164" fontId="6" fillId="0" borderId="22" xfId="1" applyNumberFormat="1" applyFont="1" applyFill="1" applyBorder="1"/>
    <xf numFmtId="164" fontId="6" fillId="0" borderId="23" xfId="1" applyNumberFormat="1" applyFont="1" applyFill="1" applyBorder="1"/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left" indent="1"/>
    </xf>
    <xf numFmtId="164" fontId="6" fillId="0" borderId="3" xfId="0" applyNumberFormat="1" applyFont="1" applyBorder="1"/>
    <xf numFmtId="44" fontId="6" fillId="0" borderId="3" xfId="0" applyNumberFormat="1" applyFont="1" applyBorder="1"/>
    <xf numFmtId="164" fontId="0" fillId="0" borderId="0" xfId="0" applyNumberFormat="1"/>
    <xf numFmtId="0" fontId="13" fillId="0" borderId="0" xfId="0" applyFont="1"/>
    <xf numFmtId="0" fontId="13" fillId="0" borderId="0" xfId="0" applyFont="1" applyAlignment="1">
      <alignment horizontal="center" wrapText="1"/>
    </xf>
    <xf numFmtId="164" fontId="13" fillId="0" borderId="0" xfId="0" applyNumberFormat="1" applyFont="1"/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inden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164" fontId="7" fillId="0" borderId="24" xfId="1" applyNumberFormat="1" applyFont="1" applyFill="1" applyBorder="1"/>
    <xf numFmtId="0" fontId="15" fillId="0" borderId="28" xfId="0" applyFont="1" applyBorder="1" applyAlignment="1">
      <alignment horizontal="left"/>
    </xf>
    <xf numFmtId="164" fontId="13" fillId="0" borderId="29" xfId="0" applyNumberFormat="1" applyFont="1" applyBorder="1"/>
    <xf numFmtId="0" fontId="13" fillId="5" borderId="30" xfId="0" applyFont="1" applyFill="1" applyBorder="1"/>
    <xf numFmtId="0" fontId="13" fillId="5" borderId="30" xfId="0" applyFont="1" applyFill="1" applyBorder="1" applyAlignment="1">
      <alignment horizontal="center" wrapText="1"/>
    </xf>
    <xf numFmtId="164" fontId="13" fillId="5" borderId="30" xfId="0" applyNumberFormat="1" applyFont="1" applyFill="1" applyBorder="1"/>
    <xf numFmtId="0" fontId="13" fillId="5" borderId="35" xfId="0" applyFont="1" applyFill="1" applyBorder="1"/>
    <xf numFmtId="164" fontId="13" fillId="0" borderId="34" xfId="0" applyNumberFormat="1" applyFont="1" applyBorder="1"/>
    <xf numFmtId="0" fontId="13" fillId="0" borderId="28" xfId="0" applyFont="1" applyBorder="1"/>
    <xf numFmtId="0" fontId="13" fillId="0" borderId="29" xfId="0" applyFont="1" applyBorder="1" applyAlignment="1">
      <alignment horizontal="center" wrapText="1"/>
    </xf>
    <xf numFmtId="0" fontId="13" fillId="5" borderId="36" xfId="0" applyFont="1" applyFill="1" applyBorder="1"/>
    <xf numFmtId="0" fontId="13" fillId="5" borderId="37" xfId="0" applyFont="1" applyFill="1" applyBorder="1" applyAlignment="1">
      <alignment horizontal="center" wrapText="1"/>
    </xf>
    <xf numFmtId="164" fontId="13" fillId="5" borderId="37" xfId="0" applyNumberFormat="1" applyFont="1" applyFill="1" applyBorder="1"/>
    <xf numFmtId="0" fontId="13" fillId="5" borderId="37" xfId="0" applyFont="1" applyFill="1" applyBorder="1"/>
    <xf numFmtId="0" fontId="13" fillId="0" borderId="38" xfId="0" applyFont="1" applyBorder="1"/>
    <xf numFmtId="164" fontId="13" fillId="0" borderId="39" xfId="0" applyNumberFormat="1" applyFont="1" applyBorder="1"/>
    <xf numFmtId="0" fontId="13" fillId="5" borderId="40" xfId="0" applyFont="1" applyFill="1" applyBorder="1"/>
    <xf numFmtId="0" fontId="13" fillId="5" borderId="41" xfId="0" applyFont="1" applyFill="1" applyBorder="1"/>
    <xf numFmtId="164" fontId="17" fillId="3" borderId="6" xfId="0" applyNumberFormat="1" applyFont="1" applyFill="1" applyBorder="1" applyAlignment="1">
      <alignment horizontal="left" indent="1"/>
    </xf>
    <xf numFmtId="0" fontId="18" fillId="0" borderId="0" xfId="0" applyFont="1"/>
    <xf numFmtId="0" fontId="17" fillId="3" borderId="4" xfId="0" applyFont="1" applyFill="1" applyBorder="1" applyAlignment="1">
      <alignment horizontal="center" vertical="center" wrapText="1"/>
    </xf>
    <xf numFmtId="0" fontId="13" fillId="0" borderId="13" xfId="0" applyFont="1" applyBorder="1"/>
    <xf numFmtId="0" fontId="17" fillId="3" borderId="7" xfId="0" applyFont="1" applyFill="1" applyBorder="1" applyAlignment="1">
      <alignment horizontal="right"/>
    </xf>
    <xf numFmtId="165" fontId="13" fillId="0" borderId="0" xfId="0" applyNumberFormat="1" applyFont="1"/>
    <xf numFmtId="165" fontId="13" fillId="0" borderId="13" xfId="0" applyNumberFormat="1" applyFont="1" applyBorder="1"/>
    <xf numFmtId="164" fontId="7" fillId="3" borderId="6" xfId="0" applyNumberFormat="1" applyFont="1" applyFill="1" applyBorder="1"/>
    <xf numFmtId="166" fontId="4" fillId="0" borderId="0" xfId="0" applyNumberFormat="1" applyFont="1"/>
    <xf numFmtId="165" fontId="7" fillId="3" borderId="6" xfId="0" applyNumberFormat="1" applyFont="1" applyFill="1" applyBorder="1" applyAlignment="1">
      <alignment horizontal="right" indent="1"/>
    </xf>
    <xf numFmtId="165" fontId="7" fillId="3" borderId="12" xfId="0" applyNumberFormat="1" applyFont="1" applyFill="1" applyBorder="1" applyAlignment="1">
      <alignment horizontal="right" indent="1"/>
    </xf>
    <xf numFmtId="167" fontId="13" fillId="0" borderId="0" xfId="0" applyNumberFormat="1" applyFont="1"/>
    <xf numFmtId="0" fontId="4" fillId="0" borderId="2" xfId="0" applyFont="1" applyBorder="1"/>
    <xf numFmtId="164" fontId="18" fillId="0" borderId="0" xfId="0" applyNumberFormat="1" applyFont="1"/>
    <xf numFmtId="0" fontId="21" fillId="0" borderId="0" xfId="0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indent="1"/>
    </xf>
    <xf numFmtId="164" fontId="7" fillId="0" borderId="0" xfId="0" applyNumberFormat="1" applyFont="1" applyAlignment="1">
      <alignment horizontal="left" indent="1"/>
    </xf>
    <xf numFmtId="168" fontId="4" fillId="0" borderId="0" xfId="2" applyNumberFormat="1" applyFont="1"/>
    <xf numFmtId="167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169" fontId="4" fillId="0" borderId="0" xfId="0" applyNumberFormat="1" applyFont="1"/>
    <xf numFmtId="164" fontId="4" fillId="0" borderId="0" xfId="1" applyNumberFormat="1" applyFont="1"/>
    <xf numFmtId="164" fontId="4" fillId="0" borderId="34" xfId="1" applyNumberFormat="1" applyFont="1" applyBorder="1"/>
    <xf numFmtId="38" fontId="4" fillId="0" borderId="0" xfId="1" applyNumberFormat="1" applyFont="1"/>
    <xf numFmtId="164" fontId="6" fillId="0" borderId="47" xfId="1" applyNumberFormat="1" applyFont="1" applyFill="1" applyBorder="1"/>
    <xf numFmtId="0" fontId="5" fillId="0" borderId="0" xfId="0" applyFont="1" applyAlignment="1">
      <alignment vertical="center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164" fontId="7" fillId="3" borderId="0" xfId="0" applyNumberFormat="1" applyFont="1" applyFill="1" applyAlignment="1">
      <alignment horizontal="left" indent="1"/>
    </xf>
    <xf numFmtId="44" fontId="4" fillId="0" borderId="34" xfId="0" applyNumberFormat="1" applyFont="1" applyBorder="1"/>
    <xf numFmtId="167" fontId="24" fillId="0" borderId="0" xfId="0" applyNumberFormat="1" applyFont="1" applyAlignment="1">
      <alignment wrapText="1"/>
    </xf>
    <xf numFmtId="8" fontId="4" fillId="0" borderId="0" xfId="0" applyNumberFormat="1" applyFont="1"/>
    <xf numFmtId="165" fontId="4" fillId="0" borderId="0" xfId="0" applyNumberFormat="1" applyFont="1"/>
    <xf numFmtId="169" fontId="24" fillId="0" borderId="0" xfId="0" applyNumberFormat="1" applyFont="1"/>
    <xf numFmtId="169" fontId="4" fillId="0" borderId="30" xfId="0" applyNumberFormat="1" applyFont="1" applyBorder="1"/>
    <xf numFmtId="0" fontId="26" fillId="0" borderId="0" xfId="0" applyFont="1"/>
    <xf numFmtId="0" fontId="27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165" fontId="29" fillId="0" borderId="0" xfId="0" applyNumberFormat="1" applyFont="1"/>
    <xf numFmtId="164" fontId="6" fillId="0" borderId="3" xfId="1" applyNumberFormat="1" applyFont="1" applyFill="1" applyBorder="1"/>
    <xf numFmtId="44" fontId="30" fillId="0" borderId="0" xfId="0" applyNumberFormat="1" applyFont="1"/>
    <xf numFmtId="44" fontId="27" fillId="0" borderId="30" xfId="0" applyNumberFormat="1" applyFont="1" applyBorder="1"/>
    <xf numFmtId="44" fontId="27" fillId="0" borderId="34" xfId="0" applyNumberFormat="1" applyFont="1" applyBorder="1"/>
    <xf numFmtId="8" fontId="27" fillId="0" borderId="0" xfId="0" applyNumberFormat="1" applyFont="1"/>
    <xf numFmtId="0" fontId="7" fillId="3" borderId="45" xfId="0" applyFont="1" applyFill="1" applyBorder="1" applyAlignment="1">
      <alignment horizontal="center" vertical="center" wrapText="1"/>
    </xf>
    <xf numFmtId="164" fontId="6" fillId="0" borderId="50" xfId="1" applyNumberFormat="1" applyFont="1" applyFill="1" applyBorder="1"/>
    <xf numFmtId="164" fontId="6" fillId="0" borderId="49" xfId="1" applyNumberFormat="1" applyFont="1" applyFill="1" applyBorder="1"/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9" xfId="0" applyFont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9" fillId="2" borderId="42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6" xfId="0" applyFont="1" applyFill="1" applyBorder="1" applyAlignment="1">
      <alignment horizontal="center" vertical="center" wrapText="1"/>
    </xf>
    <xf numFmtId="0" fontId="27" fillId="0" borderId="48" xfId="0" applyFont="1" applyBorder="1" applyAlignment="1">
      <alignment wrapText="1"/>
    </xf>
    <xf numFmtId="0" fontId="28" fillId="0" borderId="48" xfId="0" applyFont="1" applyBorder="1"/>
    <xf numFmtId="0" fontId="26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0" fontId="2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left" indent="1"/>
    </xf>
    <xf numFmtId="0" fontId="0" fillId="0" borderId="30" xfId="0" applyBorder="1" applyAlignment="1">
      <alignment horizontal="left" indent="1"/>
    </xf>
    <xf numFmtId="0" fontId="0" fillId="0" borderId="37" xfId="0" applyBorder="1" applyAlignment="1">
      <alignment horizontal="left" indent="1"/>
    </xf>
    <xf numFmtId="0" fontId="6" fillId="0" borderId="36" xfId="0" applyFont="1" applyBorder="1" applyAlignment="1">
      <alignment horizontal="left"/>
    </xf>
    <xf numFmtId="0" fontId="0" fillId="0" borderId="30" xfId="0" applyBorder="1"/>
    <xf numFmtId="0" fontId="0" fillId="0" borderId="37" xfId="0" applyBorder="1"/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36" xfId="0" applyFont="1" applyBorder="1"/>
    <xf numFmtId="0" fontId="9" fillId="4" borderId="13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02128764754234"/>
          <c:y val="2.581834946980175E-2"/>
          <c:w val="0.82094922069549225"/>
          <c:h val="0.936932655202332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Sheet4!$F$5:$AX$6</c:f>
              <c:multiLvlStrCache>
                <c:ptCount val="45"/>
                <c:lvl>
                  <c:pt idx="0">
                    <c:v>Personnel</c:v>
                  </c:pt>
                  <c:pt idx="1">
                    <c:v>Operating</c:v>
                  </c:pt>
                  <c:pt idx="2">
                    <c:v>Capital</c:v>
                  </c:pt>
                  <c:pt idx="3">
                    <c:v>Personnel</c:v>
                  </c:pt>
                  <c:pt idx="4">
                    <c:v>Operating</c:v>
                  </c:pt>
                  <c:pt idx="5">
                    <c:v>Capital</c:v>
                  </c:pt>
                  <c:pt idx="6">
                    <c:v>Personnel</c:v>
                  </c:pt>
                  <c:pt idx="7">
                    <c:v>Operating</c:v>
                  </c:pt>
                  <c:pt idx="8">
                    <c:v>Capital</c:v>
                  </c:pt>
                  <c:pt idx="9">
                    <c:v>Personnel</c:v>
                  </c:pt>
                  <c:pt idx="10">
                    <c:v>Operating</c:v>
                  </c:pt>
                  <c:pt idx="11">
                    <c:v>Capital</c:v>
                  </c:pt>
                  <c:pt idx="12">
                    <c:v>Personnel</c:v>
                  </c:pt>
                  <c:pt idx="13">
                    <c:v>Operating</c:v>
                  </c:pt>
                  <c:pt idx="14">
                    <c:v>Capital</c:v>
                  </c:pt>
                  <c:pt idx="15">
                    <c:v>Personnel</c:v>
                  </c:pt>
                  <c:pt idx="16">
                    <c:v>Operating</c:v>
                  </c:pt>
                  <c:pt idx="17">
                    <c:v>Capital</c:v>
                  </c:pt>
                  <c:pt idx="18">
                    <c:v>Personnel</c:v>
                  </c:pt>
                  <c:pt idx="19">
                    <c:v>Operating</c:v>
                  </c:pt>
                  <c:pt idx="20">
                    <c:v>Capital</c:v>
                  </c:pt>
                  <c:pt idx="21">
                    <c:v>Personnel</c:v>
                  </c:pt>
                  <c:pt idx="22">
                    <c:v>Operating</c:v>
                  </c:pt>
                  <c:pt idx="23">
                    <c:v>Capital</c:v>
                  </c:pt>
                  <c:pt idx="24">
                    <c:v>Personnel</c:v>
                  </c:pt>
                  <c:pt idx="25">
                    <c:v>Operating</c:v>
                  </c:pt>
                  <c:pt idx="26">
                    <c:v>Capital</c:v>
                  </c:pt>
                  <c:pt idx="27">
                    <c:v>Personnel</c:v>
                  </c:pt>
                  <c:pt idx="28">
                    <c:v>Operating</c:v>
                  </c:pt>
                  <c:pt idx="29">
                    <c:v>Capital</c:v>
                  </c:pt>
                  <c:pt idx="30">
                    <c:v>Personnel</c:v>
                  </c:pt>
                  <c:pt idx="31">
                    <c:v>Operating</c:v>
                  </c:pt>
                  <c:pt idx="32">
                    <c:v>Capital</c:v>
                  </c:pt>
                  <c:pt idx="33">
                    <c:v>Personnel</c:v>
                  </c:pt>
                  <c:pt idx="34">
                    <c:v>Operating</c:v>
                  </c:pt>
                  <c:pt idx="35">
                    <c:v>Capital</c:v>
                  </c:pt>
                  <c:pt idx="36">
                    <c:v>Personnel</c:v>
                  </c:pt>
                  <c:pt idx="37">
                    <c:v>Operating</c:v>
                  </c:pt>
                  <c:pt idx="38">
                    <c:v>Capital</c:v>
                  </c:pt>
                  <c:pt idx="39">
                    <c:v>Personnel</c:v>
                  </c:pt>
                  <c:pt idx="40">
                    <c:v>Operating</c:v>
                  </c:pt>
                  <c:pt idx="41">
                    <c:v>Capital</c:v>
                  </c:pt>
                  <c:pt idx="42">
                    <c:v>Personnel</c:v>
                  </c:pt>
                  <c:pt idx="43">
                    <c:v>Operating</c:v>
                  </c:pt>
                  <c:pt idx="44">
                    <c:v>Capital</c:v>
                  </c:pt>
                </c:lvl>
                <c:lvl>
                  <c:pt idx="0">
                    <c:v>Town Council</c:v>
                  </c:pt>
                  <c:pt idx="3">
                    <c:v>Town Manager</c:v>
                  </c:pt>
                  <c:pt idx="6">
                    <c:v>Finance</c:v>
                  </c:pt>
                  <c:pt idx="9">
                    <c:v>HR</c:v>
                  </c:pt>
                  <c:pt idx="12">
                    <c:v>Legal</c:v>
                  </c:pt>
                  <c:pt idx="15">
                    <c:v>IT</c:v>
                  </c:pt>
                  <c:pt idx="18">
                    <c:v>Comm Dev</c:v>
                  </c:pt>
                  <c:pt idx="21">
                    <c:v>RPD</c:v>
                  </c:pt>
                  <c:pt idx="24">
                    <c:v>Narc TF</c:v>
                  </c:pt>
                  <c:pt idx="27">
                    <c:v>RFD</c:v>
                  </c:pt>
                  <c:pt idx="30">
                    <c:v>Rescue</c:v>
                  </c:pt>
                  <c:pt idx="33">
                    <c:v>Streets</c:v>
                  </c:pt>
                  <c:pt idx="36">
                    <c:v>MSW</c:v>
                  </c:pt>
                  <c:pt idx="39">
                    <c:v>Parks</c:v>
                  </c:pt>
                  <c:pt idx="42">
                    <c:v>Non-D</c:v>
                  </c:pt>
                </c:lvl>
              </c:multiLvlStrCache>
            </c:multiLvlStrRef>
          </c:cat>
          <c:val>
            <c:numRef>
              <c:f>Sheet4!$F$7:$AX$7</c:f>
              <c:numCache>
                <c:formatCode>_("$"* #,##0_);_("$"* \(#,##0\);_("$"* "-"??_);_(@_)</c:formatCode>
                <c:ptCount val="45"/>
                <c:pt idx="0">
                  <c:v>21245</c:v>
                </c:pt>
                <c:pt idx="1">
                  <c:v>7000</c:v>
                </c:pt>
                <c:pt idx="2">
                  <c:v>0</c:v>
                </c:pt>
                <c:pt idx="3">
                  <c:v>203088</c:v>
                </c:pt>
                <c:pt idx="4">
                  <c:v>12500</c:v>
                </c:pt>
                <c:pt idx="5">
                  <c:v>0</c:v>
                </c:pt>
                <c:pt idx="6">
                  <c:v>670509</c:v>
                </c:pt>
                <c:pt idx="7">
                  <c:v>130819</c:v>
                </c:pt>
                <c:pt idx="8">
                  <c:v>0</c:v>
                </c:pt>
                <c:pt idx="9">
                  <c:v>138928.5</c:v>
                </c:pt>
                <c:pt idx="10">
                  <c:v>3750</c:v>
                </c:pt>
                <c:pt idx="11">
                  <c:v>0</c:v>
                </c:pt>
                <c:pt idx="12">
                  <c:v>65000</c:v>
                </c:pt>
                <c:pt idx="13">
                  <c:v>2000</c:v>
                </c:pt>
                <c:pt idx="14">
                  <c:v>0</c:v>
                </c:pt>
                <c:pt idx="15">
                  <c:v>21175</c:v>
                </c:pt>
                <c:pt idx="16">
                  <c:v>96000</c:v>
                </c:pt>
                <c:pt idx="17">
                  <c:v>0</c:v>
                </c:pt>
                <c:pt idx="18">
                  <c:v>74485</c:v>
                </c:pt>
                <c:pt idx="19">
                  <c:v>6200</c:v>
                </c:pt>
                <c:pt idx="20">
                  <c:v>0</c:v>
                </c:pt>
                <c:pt idx="21">
                  <c:v>1780633</c:v>
                </c:pt>
                <c:pt idx="22">
                  <c:v>351327</c:v>
                </c:pt>
                <c:pt idx="23">
                  <c:v>0</c:v>
                </c:pt>
                <c:pt idx="24">
                  <c:v>13839</c:v>
                </c:pt>
                <c:pt idx="25">
                  <c:v>136845</c:v>
                </c:pt>
                <c:pt idx="26">
                  <c:v>0</c:v>
                </c:pt>
                <c:pt idx="27">
                  <c:v>107175</c:v>
                </c:pt>
                <c:pt idx="28">
                  <c:v>160219</c:v>
                </c:pt>
                <c:pt idx="29">
                  <c:v>0</c:v>
                </c:pt>
                <c:pt idx="30">
                  <c:v>761228</c:v>
                </c:pt>
                <c:pt idx="31">
                  <c:v>162300</c:v>
                </c:pt>
                <c:pt idx="32">
                  <c:v>36000</c:v>
                </c:pt>
                <c:pt idx="33">
                  <c:v>1043006</c:v>
                </c:pt>
                <c:pt idx="34">
                  <c:v>363150</c:v>
                </c:pt>
                <c:pt idx="35">
                  <c:v>479314</c:v>
                </c:pt>
                <c:pt idx="36">
                  <c:v>401467</c:v>
                </c:pt>
                <c:pt idx="37">
                  <c:v>126600</c:v>
                </c:pt>
                <c:pt idx="38">
                  <c:v>50000</c:v>
                </c:pt>
                <c:pt idx="39">
                  <c:v>198641</c:v>
                </c:pt>
                <c:pt idx="40">
                  <c:v>54600</c:v>
                </c:pt>
                <c:pt idx="41">
                  <c:v>40000</c:v>
                </c:pt>
                <c:pt idx="42">
                  <c:v>0</c:v>
                </c:pt>
                <c:pt idx="43">
                  <c:v>165460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5-4E56-9ABC-28D05C9E6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4474543"/>
        <c:axId val="1054475023"/>
      </c:barChart>
      <c:catAx>
        <c:axId val="1054474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475023"/>
        <c:crosses val="autoZero"/>
        <c:auto val="1"/>
        <c:lblAlgn val="ctr"/>
        <c:lblOffset val="100"/>
        <c:noMultiLvlLbl val="0"/>
      </c:catAx>
      <c:valAx>
        <c:axId val="1054475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47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A8E7-4E5A-8B37-98EED9731B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8E7-4E5A-8B37-98EED9731B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A8E7-4E5A-8B37-98EED9731B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8E7-4E5A-8B37-98EED9731B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8E7-4E5A-8B37-98EED9731B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8E7-4E5A-8B37-98EED9731B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8E7-4E5A-8B37-98EED9731BA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7EC-44AE-BF95-192AC0BA92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7EC-44AE-BF95-192AC0BA92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7EC-44AE-BF95-192AC0BA92F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7EC-44AE-BF95-192AC0BA92F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7EC-44AE-BF95-192AC0BA92F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8E7-4E5A-8B37-98EED9731BA4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A8E7-4E5A-8B37-98EED9731BA4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8E7-4E5A-8B37-98EED9731BA4}"/>
              </c:ext>
            </c:extLst>
          </c:dPt>
          <c:dLbls>
            <c:dLbl>
              <c:idx val="0"/>
              <c:layout>
                <c:manualLayout>
                  <c:x val="8.6523896333199034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E7-4E5A-8B37-98EED9731BA4}"/>
                </c:ext>
              </c:extLst>
            </c:dLbl>
            <c:dLbl>
              <c:idx val="1"/>
              <c:layout>
                <c:manualLayout>
                  <c:x val="8.1332462553207086E-2"/>
                  <c:y val="2.3598823191192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E7-4E5A-8B37-98EED9731BA4}"/>
                </c:ext>
              </c:extLst>
            </c:dLbl>
            <c:dLbl>
              <c:idx val="2"/>
              <c:layout>
                <c:manualLayout>
                  <c:x val="0.12286393279314249"/>
                  <c:y val="-2.02275627353080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E7-4E5A-8B37-98EED9731BA4}"/>
                </c:ext>
              </c:extLst>
            </c:dLbl>
            <c:dLbl>
              <c:idx val="3"/>
              <c:layout>
                <c:manualLayout>
                  <c:x val="-1.9035257193303786E-2"/>
                  <c:y val="-2.359882319119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E7-4E5A-8B37-98EED9731BA4}"/>
                </c:ext>
              </c:extLst>
            </c:dLbl>
            <c:dLbl>
              <c:idx val="4"/>
              <c:layout>
                <c:manualLayout>
                  <c:x val="2.4226690973295602E-2"/>
                  <c:y val="-4.38263859265006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E7-4E5A-8B37-98EED9731BA4}"/>
                </c:ext>
              </c:extLst>
            </c:dLbl>
            <c:dLbl>
              <c:idx val="5"/>
              <c:layout>
                <c:manualLayout>
                  <c:x val="6.4027683286567286E-2"/>
                  <c:y val="6.7425209117693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E7-4E5A-8B37-98EED9731BA4}"/>
                </c:ext>
              </c:extLst>
            </c:dLbl>
            <c:dLbl>
              <c:idx val="6"/>
              <c:layout>
                <c:manualLayout>
                  <c:x val="4.6722904019927347E-2"/>
                  <c:y val="0.114622855500078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E7-4E5A-8B37-98EED9731BA4}"/>
                </c:ext>
              </c:extLst>
            </c:dLbl>
            <c:dLbl>
              <c:idx val="12"/>
              <c:layout>
                <c:manualLayout>
                  <c:x val="-0.1003677197465109"/>
                  <c:y val="4.0455125470616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E7-4E5A-8B37-98EED9731BA4}"/>
                </c:ext>
              </c:extLst>
            </c:dLbl>
            <c:dLbl>
              <c:idx val="13"/>
              <c:layout>
                <c:manualLayout>
                  <c:x val="-0.1038286755998389"/>
                  <c:y val="1.01137813676540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E7-4E5A-8B37-98EED9731BA4}"/>
                </c:ext>
              </c:extLst>
            </c:dLbl>
            <c:dLbl>
              <c:idx val="14"/>
              <c:layout>
                <c:manualLayout>
                  <c:x val="-7.0949594993223203E-2"/>
                  <c:y val="1.01137813676540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E7-4E5A-8B37-98EED9731BA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Sheet4!$AA$15:$AA$29</c:f>
              <c:strCache>
                <c:ptCount val="15"/>
                <c:pt idx="0">
                  <c:v>Town Council</c:v>
                </c:pt>
                <c:pt idx="1">
                  <c:v>Town Manager</c:v>
                </c:pt>
                <c:pt idx="2">
                  <c:v>Finance</c:v>
                </c:pt>
                <c:pt idx="3">
                  <c:v>HR</c:v>
                </c:pt>
                <c:pt idx="4">
                  <c:v>Legal</c:v>
                </c:pt>
                <c:pt idx="5">
                  <c:v>IT</c:v>
                </c:pt>
                <c:pt idx="6">
                  <c:v>Comm Dev</c:v>
                </c:pt>
                <c:pt idx="7">
                  <c:v>RPD</c:v>
                </c:pt>
                <c:pt idx="8">
                  <c:v>Narc TF</c:v>
                </c:pt>
                <c:pt idx="9">
                  <c:v>RFD</c:v>
                </c:pt>
                <c:pt idx="10">
                  <c:v>Rescue</c:v>
                </c:pt>
                <c:pt idx="11">
                  <c:v>Streets</c:v>
                </c:pt>
                <c:pt idx="12">
                  <c:v>MSW</c:v>
                </c:pt>
                <c:pt idx="13">
                  <c:v>Parks</c:v>
                </c:pt>
                <c:pt idx="14">
                  <c:v>Non-D</c:v>
                </c:pt>
              </c:strCache>
            </c:strRef>
          </c:cat>
          <c:val>
            <c:numRef>
              <c:f>Sheet4!$AB$15:$AB$29</c:f>
              <c:numCache>
                <c:formatCode>_("$"* #,##0_);_("$"* \(#,##0\);_("$"* "-"??_);_(@_)</c:formatCode>
                <c:ptCount val="15"/>
                <c:pt idx="0">
                  <c:v>28245</c:v>
                </c:pt>
                <c:pt idx="1">
                  <c:v>215588</c:v>
                </c:pt>
                <c:pt idx="2">
                  <c:v>801328</c:v>
                </c:pt>
                <c:pt idx="3">
                  <c:v>142678.5</c:v>
                </c:pt>
                <c:pt idx="4">
                  <c:v>67000</c:v>
                </c:pt>
                <c:pt idx="5">
                  <c:v>117175</c:v>
                </c:pt>
                <c:pt idx="6">
                  <c:v>80685</c:v>
                </c:pt>
                <c:pt idx="7">
                  <c:v>2131960</c:v>
                </c:pt>
                <c:pt idx="8">
                  <c:v>150684</c:v>
                </c:pt>
                <c:pt idx="9">
                  <c:v>267394</c:v>
                </c:pt>
                <c:pt idx="10">
                  <c:v>959528</c:v>
                </c:pt>
                <c:pt idx="11">
                  <c:v>1885470</c:v>
                </c:pt>
                <c:pt idx="12">
                  <c:v>578067</c:v>
                </c:pt>
                <c:pt idx="13">
                  <c:v>293241</c:v>
                </c:pt>
                <c:pt idx="14">
                  <c:v>165460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7-4E5A-8B37-98EED9731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5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'W&amp;S Revenue'!$P$6:$P$8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'W&amp;S Revenue'!$O$6:$O$8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E86-48E7-A590-466D2EEA93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533399</xdr:colOff>
      <xdr:row>2</xdr:row>
      <xdr:rowOff>142874</xdr:rowOff>
    </xdr:from>
    <xdr:to>
      <xdr:col>49</xdr:col>
      <xdr:colOff>180974</xdr:colOff>
      <xdr:row>38</xdr:row>
      <xdr:rowOff>171449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86ADB6-AF21-8C58-73C8-BD556F258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147636</xdr:colOff>
      <xdr:row>5</xdr:row>
      <xdr:rowOff>180975</xdr:rowOff>
    </xdr:from>
    <xdr:to>
      <xdr:col>44</xdr:col>
      <xdr:colOff>171449</xdr:colOff>
      <xdr:row>25</xdr:row>
      <xdr:rowOff>138112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0CDE4C6-9C11-8741-7064-A60780C74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8</xdr:row>
      <xdr:rowOff>119062</xdr:rowOff>
    </xdr:from>
    <xdr:to>
      <xdr:col>12</xdr:col>
      <xdr:colOff>438150</xdr:colOff>
      <xdr:row>37</xdr:row>
      <xdr:rowOff>280987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F4DEB3-AA8F-47A1-DD63-D7CCA3885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EBBD-FD4B-4857-9FF4-4D71717A4C09}">
  <sheetPr>
    <pageSetUpPr fitToPage="1"/>
  </sheetPr>
  <dimension ref="A1:M6"/>
  <sheetViews>
    <sheetView tabSelected="1" workbookViewId="0">
      <pane xSplit="1" ySplit="1" topLeftCell="B2" activePane="bottomRight" state="frozen"/>
      <selection activeCell="H16" sqref="H16"/>
      <selection pane="topRight" activeCell="H16" sqref="H16"/>
      <selection pane="bottomLeft" activeCell="H16" sqref="H16"/>
      <selection pane="bottomRight" activeCell="A7" sqref="A7"/>
    </sheetView>
  </sheetViews>
  <sheetFormatPr defaultColWidth="9.140625" defaultRowHeight="21" x14ac:dyDescent="0.35"/>
  <cols>
    <col min="1" max="1" width="45.140625" style="33" bestFit="1" customWidth="1"/>
    <col min="2" max="2" width="20.42578125" style="33" bestFit="1" customWidth="1"/>
    <col min="3" max="11" width="17.28515625" style="33" customWidth="1"/>
    <col min="12" max="12" width="16.7109375" style="33" customWidth="1"/>
    <col min="13" max="13" width="13" style="33" bestFit="1" customWidth="1"/>
    <col min="14" max="16384" width="9.140625" style="33"/>
  </cols>
  <sheetData>
    <row r="1" spans="1:13" x14ac:dyDescent="0.35">
      <c r="B1" s="127" t="s">
        <v>218</v>
      </c>
      <c r="C1" s="127"/>
      <c r="D1" s="127" t="s">
        <v>219</v>
      </c>
      <c r="E1" s="127"/>
      <c r="F1" s="127" t="s">
        <v>220</v>
      </c>
      <c r="G1" s="127"/>
      <c r="H1" s="127" t="s">
        <v>221</v>
      </c>
      <c r="I1" s="127"/>
      <c r="J1" s="127" t="s">
        <v>354</v>
      </c>
      <c r="K1" s="127"/>
    </row>
    <row r="2" spans="1:13" x14ac:dyDescent="0.35">
      <c r="B2" s="33" t="s">
        <v>35</v>
      </c>
      <c r="C2" s="33" t="s">
        <v>31</v>
      </c>
      <c r="D2" s="33" t="s">
        <v>35</v>
      </c>
      <c r="E2" s="33" t="s">
        <v>31</v>
      </c>
      <c r="F2" s="33" t="s">
        <v>35</v>
      </c>
      <c r="G2" s="33" t="s">
        <v>31</v>
      </c>
      <c r="H2" s="33" t="s">
        <v>35</v>
      </c>
      <c r="I2" s="33" t="s">
        <v>31</v>
      </c>
      <c r="J2" s="33" t="s">
        <v>35</v>
      </c>
      <c r="K2" s="33" t="s">
        <v>31</v>
      </c>
      <c r="M2" s="33" t="s">
        <v>215</v>
      </c>
    </row>
    <row r="3" spans="1:13" x14ac:dyDescent="0.35">
      <c r="A3" s="33" t="s">
        <v>216</v>
      </c>
      <c r="B3" s="34">
        <f>'GF REV'!C84</f>
        <v>7198803.8900000015</v>
      </c>
      <c r="C3" s="34">
        <f>'Town Council'!C26+'Town Manager'!C31+Finance!C59+HR!C30+Legal!C26+IT!C27+'Comm Dev'!C30+RPD!C59+'Narc TF'!C29+RFD!C50+Rescue!C54+Streets!C55+Sanitation!C36+Parks!C52+'Non-D'!C33+'Police Grants'!C23+'FED_State Asset Forf'!C24</f>
        <v>6564908.9099999992</v>
      </c>
      <c r="D3" s="34">
        <f>'GF REV'!D84</f>
        <v>10268393.759999998</v>
      </c>
      <c r="E3" s="34">
        <f>'Town Council'!D26+Finance!D59+IT!D27+'Comm Dev'!D30+RPD!D59+'Narc TF'!D29+RFD!D50+Rescue!D54+Streets!D55+Sanitation!D36+Parks!D52+'Non-D'!D33+'Police Grants'!D23+'FED_State Asset Forf'!D24</f>
        <v>6831835.4700000007</v>
      </c>
      <c r="F3" s="34">
        <f>'GF REV'!E84</f>
        <v>8233651.4300000006</v>
      </c>
      <c r="G3" s="34">
        <f>'Town Council'!E26+Finance!E59+IT!E27+'Comm Dev'!E30+RPD!E59+'Narc TF'!E29+RFD!E50+Rescue!E54++Streets!E55+Sanitation!E36+Parks!E52+'Non-D'!E33+'Police Grants'!E23+'FED_State Asset Forf'!E24</f>
        <v>8486129.879999999</v>
      </c>
      <c r="H3" s="34">
        <f>'GF REV'!F84</f>
        <v>7884504</v>
      </c>
      <c r="I3" s="34">
        <f>'Town Council'!F26+'Town Manager'!F31+Finance!F59+HR!F30+Legal!F26+IT!F27+'Comm Dev'!F30+RPD!F59+'Narc TF'!F29+RFD!F50+Rescue!F54+Streets!F55+Sanitation!F36+Parks!F52+'Non-D'!F33+'Police Grants'!F23+'FED_State Asset Forf'!F24</f>
        <v>7884749.2300000004</v>
      </c>
      <c r="J3" s="118">
        <f>'GF REV'!G84</f>
        <v>8431396.5600000005</v>
      </c>
      <c r="K3" s="118">
        <f>'Town Council'!G26+'Town Manager'!G31+Finance!G59+HR!G30+Legal!G26+IT!G27+'Comm Dev'!G30+RPD!G59+RFD!G50+Rescue!G54+Streets!G55+Sanitation!G36+Parks!G52+'Non-D'!G33+'Narc TF'!G29+'Police Grants'!G23+'FED_State Asset Forf'!G24</f>
        <v>8431396.062398361</v>
      </c>
      <c r="L3" s="118">
        <f>J3-K3</f>
        <v>0.49760163947939873</v>
      </c>
      <c r="M3" s="34" t="s">
        <v>215</v>
      </c>
    </row>
    <row r="4" spans="1:13" x14ac:dyDescent="0.35">
      <c r="A4" s="33" t="s">
        <v>365</v>
      </c>
      <c r="B4" s="34">
        <f>'W&amp;S Revenue'!C19+'W&amp;S Revenue'!C54+'W&amp;S Revenue'!C91</f>
        <v>2694215.78</v>
      </c>
      <c r="C4" s="34">
        <f>'WA TR PL'!C62+'WW TR PL'!C66+'W&amp;S LINE'!C56</f>
        <v>2843810.18</v>
      </c>
      <c r="D4" s="34">
        <f>'W&amp;S Revenue'!D19+'W&amp;S Revenue'!D54+'W&amp;S Revenue'!D91</f>
        <v>2753625.54</v>
      </c>
      <c r="E4" s="34">
        <f>'WA TR PL'!D62+'WW TR PL'!D66+'W&amp;S LINE'!D56</f>
        <v>2722009.11</v>
      </c>
      <c r="F4" s="34">
        <f>'W&amp;S Revenue'!E19+'W&amp;S Revenue'!E54+'W&amp;S Revenue'!E91</f>
        <v>2946673</v>
      </c>
      <c r="G4" s="34">
        <f>'WA TR PL'!E62+'WW TR PL'!E66+'W&amp;S LINE'!E56</f>
        <v>3212127.6799999997</v>
      </c>
      <c r="H4" s="34">
        <f>'W&amp;S Revenue'!F19+'W&amp;S Revenue'!F54+'W&amp;S Revenue'!F91</f>
        <v>3715496</v>
      </c>
      <c r="I4" s="34">
        <f>'WA TR PL'!F62+'WW TR PL'!F66+'W&amp;S LINE'!F56</f>
        <v>3715496</v>
      </c>
      <c r="J4" s="118">
        <f>'W&amp;S Revenue'!G19+'W&amp;S Revenue'!G54+'W&amp;S Revenue'!G91</f>
        <v>5064536.2762542441</v>
      </c>
      <c r="K4" s="118">
        <f>'WA TR PL'!G62+'WW TR PL'!G66+'W&amp;S LINE'!G56</f>
        <v>4933351.7829999998</v>
      </c>
      <c r="L4" s="118">
        <f>J4-K4</f>
        <v>131184.49325424433</v>
      </c>
      <c r="M4" s="34" t="s">
        <v>215</v>
      </c>
    </row>
    <row r="5" spans="1:13" x14ac:dyDescent="0.35">
      <c r="A5" s="33" t="s">
        <v>217</v>
      </c>
      <c r="B5" s="34">
        <f>'Electric REV'!C14</f>
        <v>7367806.3600000003</v>
      </c>
      <c r="C5" s="34">
        <f>'Electric Dep'!C72</f>
        <v>5877824.0199999996</v>
      </c>
      <c r="D5" s="34">
        <f>'Electric REV'!D14</f>
        <v>7070940.6200000001</v>
      </c>
      <c r="E5" s="34">
        <f>'Electric Dep'!D72</f>
        <v>6507209.4099999992</v>
      </c>
      <c r="F5" s="34">
        <f>'Electric REV'!E14</f>
        <v>6631168</v>
      </c>
      <c r="G5" s="34">
        <f>'Electric Dep'!E72</f>
        <v>7302369.9900000002</v>
      </c>
      <c r="H5" s="34">
        <f>'Electric REV'!F14</f>
        <v>7264000</v>
      </c>
      <c r="I5" s="34">
        <f>'Electric Dep'!F72</f>
        <v>7264000</v>
      </c>
      <c r="J5" s="118">
        <f>'Electric REV'!G14</f>
        <v>9856816.6383999996</v>
      </c>
      <c r="K5" s="118">
        <f>'Electric Dep'!G72</f>
        <v>9856817.0999999996</v>
      </c>
      <c r="L5" s="118">
        <f>J5-K5</f>
        <v>-0.46160000003874302</v>
      </c>
      <c r="M5" s="34" t="s">
        <v>215</v>
      </c>
    </row>
    <row r="6" spans="1:13" x14ac:dyDescent="0.35">
      <c r="I6" s="34">
        <f>SUM(I3:I5)</f>
        <v>18864245.23</v>
      </c>
      <c r="K6" s="34">
        <f>SUM(K3:K5)</f>
        <v>23221564.94539836</v>
      </c>
    </row>
  </sheetData>
  <mergeCells count="5">
    <mergeCell ref="B1:C1"/>
    <mergeCell ref="D1:E1"/>
    <mergeCell ref="F1:G1"/>
    <mergeCell ref="H1:I1"/>
    <mergeCell ref="J1:K1"/>
  </mergeCells>
  <pageMargins left="0.45" right="0.45" top="0.75" bottom="0.7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F446-C714-40A0-957A-BE9B600A8222}">
  <sheetPr>
    <pageSetUpPr fitToPage="1"/>
  </sheetPr>
  <dimension ref="A1:H30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16384" width="9.140625" style="2"/>
  </cols>
  <sheetData>
    <row r="1" spans="1:8" ht="34.5" x14ac:dyDescent="0.45">
      <c r="A1" s="144" t="s">
        <v>18</v>
      </c>
      <c r="B1" s="144"/>
      <c r="C1" s="144"/>
      <c r="D1" s="144"/>
      <c r="E1" s="144"/>
      <c r="F1" s="144"/>
      <c r="G1" s="144"/>
    </row>
    <row r="2" spans="1:8" x14ac:dyDescent="0.2">
      <c r="A2" s="145"/>
      <c r="B2" s="145"/>
      <c r="C2" s="145"/>
      <c r="D2" s="145"/>
      <c r="E2" s="145"/>
      <c r="F2" s="145"/>
    </row>
    <row r="3" spans="1:8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8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8" ht="15.75" x14ac:dyDescent="0.25">
      <c r="A5" s="45">
        <v>500000</v>
      </c>
      <c r="B5" s="46" t="s">
        <v>119</v>
      </c>
      <c r="C5" s="36">
        <v>0</v>
      </c>
      <c r="D5" s="36">
        <v>0</v>
      </c>
      <c r="E5" s="36">
        <v>0</v>
      </c>
      <c r="F5" s="36">
        <v>92750</v>
      </c>
      <c r="G5" s="36">
        <f>97733</f>
        <v>97733</v>
      </c>
    </row>
    <row r="6" spans="1:8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36">
        <v>0</v>
      </c>
    </row>
    <row r="7" spans="1:8" ht="15.75" x14ac:dyDescent="0.25">
      <c r="A7" s="3">
        <v>501000</v>
      </c>
      <c r="B7" s="4" t="s">
        <v>122</v>
      </c>
      <c r="C7" s="6">
        <v>0</v>
      </c>
      <c r="D7" s="6">
        <v>0</v>
      </c>
      <c r="E7" s="6">
        <v>0</v>
      </c>
      <c r="F7" s="6">
        <v>7100</v>
      </c>
      <c r="G7" s="36">
        <v>7800</v>
      </c>
    </row>
    <row r="8" spans="1:8" ht="15.75" x14ac:dyDescent="0.25">
      <c r="A8" s="3">
        <v>501100</v>
      </c>
      <c r="B8" s="4" t="s">
        <v>123</v>
      </c>
      <c r="C8" s="6">
        <v>0</v>
      </c>
      <c r="D8" s="6">
        <v>0</v>
      </c>
      <c r="E8" s="6">
        <v>0</v>
      </c>
      <c r="F8" s="6">
        <v>16000</v>
      </c>
      <c r="G8" s="36">
        <f>15288*1.103</f>
        <v>16862.664000000001</v>
      </c>
      <c r="H8" s="2" t="s">
        <v>381</v>
      </c>
    </row>
    <row r="9" spans="1:8" ht="15.75" x14ac:dyDescent="0.25">
      <c r="A9" s="3">
        <v>501150</v>
      </c>
      <c r="B9" s="4" t="s">
        <v>168</v>
      </c>
      <c r="C9" s="6">
        <v>0</v>
      </c>
      <c r="D9" s="6">
        <v>0</v>
      </c>
      <c r="E9" s="6">
        <v>0</v>
      </c>
      <c r="F9" s="6">
        <v>578.5</v>
      </c>
      <c r="G9" s="36">
        <f>428*1.103</f>
        <v>472.084</v>
      </c>
      <c r="H9" s="2" t="s">
        <v>381</v>
      </c>
    </row>
    <row r="10" spans="1:8" ht="15.75" x14ac:dyDescent="0.25">
      <c r="A10" s="3">
        <v>501200</v>
      </c>
      <c r="B10" s="4" t="s">
        <v>130</v>
      </c>
      <c r="C10" s="6">
        <v>0</v>
      </c>
      <c r="D10" s="6">
        <v>0</v>
      </c>
      <c r="E10" s="6">
        <v>0</v>
      </c>
      <c r="F10" s="6">
        <v>19500</v>
      </c>
      <c r="G10" s="36">
        <v>32600</v>
      </c>
      <c r="H10" s="2" t="s">
        <v>382</v>
      </c>
    </row>
    <row r="11" spans="1:8" ht="15.75" x14ac:dyDescent="0.25">
      <c r="A11" s="3">
        <v>501225</v>
      </c>
      <c r="B11" s="4" t="s">
        <v>131</v>
      </c>
      <c r="C11" s="6">
        <v>0</v>
      </c>
      <c r="D11" s="6">
        <v>0</v>
      </c>
      <c r="E11" s="6">
        <v>0</v>
      </c>
      <c r="F11" s="6">
        <v>0</v>
      </c>
      <c r="G11" s="36">
        <v>700</v>
      </c>
    </row>
    <row r="12" spans="1:8" ht="16.5" thickBot="1" x14ac:dyDescent="0.3">
      <c r="A12" s="3">
        <v>501250</v>
      </c>
      <c r="B12" s="4" t="s">
        <v>124</v>
      </c>
      <c r="C12" s="6">
        <v>0</v>
      </c>
      <c r="D12" s="6">
        <v>0</v>
      </c>
      <c r="E12" s="6">
        <v>0</v>
      </c>
      <c r="F12" s="6">
        <v>3000</v>
      </c>
      <c r="G12" s="36">
        <v>500</v>
      </c>
    </row>
    <row r="13" spans="1:8" ht="16.5" thickBot="1" x14ac:dyDescent="0.3">
      <c r="A13" s="7" t="s">
        <v>10</v>
      </c>
      <c r="B13" s="8"/>
      <c r="C13" s="30">
        <f>SUM(C5:C12)</f>
        <v>0</v>
      </c>
      <c r="D13" s="30">
        <f>SUM(D5:D12)</f>
        <v>0</v>
      </c>
      <c r="E13" s="30">
        <f>SUM(E5:E12)</f>
        <v>0</v>
      </c>
      <c r="F13" s="30">
        <f>SUM(F5:F12)</f>
        <v>138928.5</v>
      </c>
      <c r="G13" s="30">
        <f>SUM(G5:G12)</f>
        <v>156667.74800000002</v>
      </c>
    </row>
    <row r="15" spans="1:8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8" ht="56.25" x14ac:dyDescent="0.2">
      <c r="A16" s="5" t="s">
        <v>1</v>
      </c>
      <c r="B16" s="5" t="s">
        <v>2</v>
      </c>
      <c r="C16" s="77" t="s">
        <v>6</v>
      </c>
      <c r="D16" s="77" t="s">
        <v>5</v>
      </c>
      <c r="E16" s="77" t="s">
        <v>350</v>
      </c>
      <c r="F16" s="77" t="s">
        <v>349</v>
      </c>
      <c r="G16" s="77" t="s">
        <v>348</v>
      </c>
    </row>
    <row r="17" spans="1:7" ht="15.75" x14ac:dyDescent="0.25">
      <c r="A17" s="45">
        <v>510250</v>
      </c>
      <c r="B17" s="46" t="s">
        <v>140</v>
      </c>
      <c r="C17" s="36">
        <v>0</v>
      </c>
      <c r="D17" s="36">
        <v>0</v>
      </c>
      <c r="E17" s="36">
        <v>0</v>
      </c>
      <c r="F17" s="36">
        <v>750</v>
      </c>
      <c r="G17" s="36">
        <v>300</v>
      </c>
    </row>
    <row r="18" spans="1:7" ht="15.75" x14ac:dyDescent="0.25">
      <c r="A18" s="3">
        <v>510350</v>
      </c>
      <c r="B18" s="4" t="s">
        <v>142</v>
      </c>
      <c r="C18" s="6">
        <v>0</v>
      </c>
      <c r="D18" s="6">
        <v>0</v>
      </c>
      <c r="E18" s="6">
        <v>0</v>
      </c>
      <c r="F18" s="6">
        <v>500</v>
      </c>
      <c r="G18" s="6">
        <v>250</v>
      </c>
    </row>
    <row r="19" spans="1:7" ht="15.75" x14ac:dyDescent="0.25">
      <c r="A19" s="3">
        <v>510550</v>
      </c>
      <c r="B19" s="4" t="s">
        <v>146</v>
      </c>
      <c r="C19" s="6">
        <v>0</v>
      </c>
      <c r="D19" s="6">
        <v>0</v>
      </c>
      <c r="E19" s="6">
        <v>0</v>
      </c>
      <c r="F19" s="6">
        <v>1500</v>
      </c>
      <c r="G19" s="6">
        <v>1000</v>
      </c>
    </row>
    <row r="20" spans="1:7" ht="15.75" x14ac:dyDescent="0.25">
      <c r="A20" s="3">
        <v>511100</v>
      </c>
      <c r="B20" s="4" t="s">
        <v>155</v>
      </c>
      <c r="C20" s="6">
        <v>0</v>
      </c>
      <c r="D20" s="6">
        <v>0</v>
      </c>
      <c r="E20" s="6">
        <v>0</v>
      </c>
      <c r="F20" s="6">
        <v>500</v>
      </c>
      <c r="G20" s="6">
        <v>200</v>
      </c>
    </row>
    <row r="21" spans="1:7" ht="16.5" thickBot="1" x14ac:dyDescent="0.3">
      <c r="A21" s="3">
        <v>519000</v>
      </c>
      <c r="B21" s="4" t="s">
        <v>125</v>
      </c>
      <c r="C21" s="6">
        <v>0</v>
      </c>
      <c r="D21" s="6">
        <v>0</v>
      </c>
      <c r="E21" s="6">
        <v>0</v>
      </c>
      <c r="F21" s="6">
        <v>500</v>
      </c>
      <c r="G21" s="6">
        <v>500</v>
      </c>
    </row>
    <row r="22" spans="1:7" ht="16.5" thickBot="1" x14ac:dyDescent="0.3">
      <c r="A22" s="7" t="s">
        <v>11</v>
      </c>
      <c r="B22" s="8"/>
      <c r="C22" s="30">
        <f>SUM(C17:C21)</f>
        <v>0</v>
      </c>
      <c r="D22" s="30">
        <f>SUM(D17:D21)</f>
        <v>0</v>
      </c>
      <c r="E22" s="30">
        <f>SUM(E17:E21)</f>
        <v>0</v>
      </c>
      <c r="F22" s="30">
        <f>SUM(F17:F21)</f>
        <v>3750</v>
      </c>
      <c r="G22" s="30">
        <f>SUM(G17:G21)</f>
        <v>2250</v>
      </c>
    </row>
    <row r="23" spans="1:7" ht="15.75" thickBot="1" x14ac:dyDescent="0.25"/>
    <row r="24" spans="1:7" ht="16.5" thickBot="1" x14ac:dyDescent="0.3">
      <c r="A24" s="9" t="s">
        <v>48</v>
      </c>
      <c r="B24" s="10"/>
      <c r="C24" s="10"/>
      <c r="D24" s="10"/>
      <c r="E24" s="10"/>
      <c r="F24" s="10"/>
      <c r="G24" s="10"/>
    </row>
    <row r="25" spans="1:7" ht="15" customHeight="1" x14ac:dyDescent="0.2">
      <c r="A25" s="150"/>
      <c r="B25" s="152" t="s">
        <v>12</v>
      </c>
      <c r="C25" s="154" t="s">
        <v>6</v>
      </c>
      <c r="D25" s="154" t="s">
        <v>5</v>
      </c>
      <c r="E25" s="154" t="s">
        <v>350</v>
      </c>
      <c r="F25" s="154" t="s">
        <v>349</v>
      </c>
      <c r="G25" s="154" t="s">
        <v>348</v>
      </c>
    </row>
    <row r="26" spans="1:7" ht="44.25" customHeight="1" thickBot="1" x14ac:dyDescent="0.25">
      <c r="A26" s="151"/>
      <c r="B26" s="153"/>
      <c r="C26" s="155"/>
      <c r="D26" s="155"/>
      <c r="E26" s="155"/>
      <c r="F26" s="155"/>
      <c r="G26" s="155"/>
    </row>
    <row r="27" spans="1:7" ht="15.75" x14ac:dyDescent="0.25">
      <c r="A27" s="3"/>
      <c r="B27" s="4" t="s">
        <v>13</v>
      </c>
      <c r="C27" s="36">
        <f>C13</f>
        <v>0</v>
      </c>
      <c r="D27" s="36">
        <f>D13</f>
        <v>0</v>
      </c>
      <c r="E27" s="36">
        <f>E13</f>
        <v>0</v>
      </c>
      <c r="F27" s="36">
        <f>F13</f>
        <v>138928.5</v>
      </c>
      <c r="G27" s="36">
        <f>G13</f>
        <v>156667.74800000002</v>
      </c>
    </row>
    <row r="28" spans="1:7" ht="15.75" x14ac:dyDescent="0.25">
      <c r="A28" s="3"/>
      <c r="B28" s="4" t="s">
        <v>14</v>
      </c>
      <c r="C28" s="6">
        <f>C22</f>
        <v>0</v>
      </c>
      <c r="D28" s="6">
        <f>D22</f>
        <v>0</v>
      </c>
      <c r="E28" s="6">
        <f>E22</f>
        <v>0</v>
      </c>
      <c r="F28" s="6">
        <f>F22</f>
        <v>3750</v>
      </c>
      <c r="G28" s="6">
        <f>G22</f>
        <v>2250</v>
      </c>
    </row>
    <row r="29" spans="1:7" ht="16.5" thickBot="1" x14ac:dyDescent="0.3">
      <c r="A29" s="3"/>
      <c r="B29" s="4" t="s">
        <v>15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ht="15.75" x14ac:dyDescent="0.25">
      <c r="A30" s="11" t="s">
        <v>16</v>
      </c>
      <c r="B30" s="12"/>
      <c r="C30" s="31">
        <f>SUM(C27:C29)</f>
        <v>0</v>
      </c>
      <c r="D30" s="31">
        <f>SUM(D27:D29)</f>
        <v>0</v>
      </c>
      <c r="E30" s="31">
        <f>SUM(E27:E29)</f>
        <v>0</v>
      </c>
      <c r="F30" s="31">
        <f>SUM(F27:F29)</f>
        <v>142678.5</v>
      </c>
      <c r="G30" s="31">
        <f>SUM(G27:G29)</f>
        <v>158917.74800000002</v>
      </c>
    </row>
  </sheetData>
  <mergeCells count="9">
    <mergeCell ref="A1:G1"/>
    <mergeCell ref="G25:G26"/>
    <mergeCell ref="A2:F2"/>
    <mergeCell ref="A25:A26"/>
    <mergeCell ref="B25:B26"/>
    <mergeCell ref="C25:C26"/>
    <mergeCell ref="D25:D26"/>
    <mergeCell ref="E25:E26"/>
    <mergeCell ref="F25:F26"/>
  </mergeCells>
  <pageMargins left="0.45" right="0.45" top="0.75" bottom="0.75" header="0.3" footer="0.3"/>
  <pageSetup scale="64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9EE95-7A4F-4AD4-938F-FD37027FF4E2}">
  <sheetPr>
    <pageSetUpPr fitToPage="1"/>
  </sheetPr>
  <dimension ref="A1:G26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16384" width="9.140625" style="2"/>
  </cols>
  <sheetData>
    <row r="1" spans="1:7" ht="34.5" x14ac:dyDescent="0.45">
      <c r="A1" s="144" t="s">
        <v>19</v>
      </c>
      <c r="B1" s="144"/>
      <c r="C1" s="144"/>
      <c r="D1" s="144"/>
      <c r="E1" s="144"/>
      <c r="F1" s="144"/>
      <c r="G1" s="144"/>
    </row>
    <row r="2" spans="1:7" x14ac:dyDescent="0.2">
      <c r="A2" s="145"/>
      <c r="B2" s="145"/>
      <c r="C2" s="145"/>
      <c r="D2" s="145"/>
      <c r="E2" s="145"/>
      <c r="F2" s="145"/>
    </row>
    <row r="3" spans="1:7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7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7" ht="15.75" customHeight="1" x14ac:dyDescent="0.25">
      <c r="A5" s="45">
        <v>500000</v>
      </c>
      <c r="B5" s="46" t="s">
        <v>119</v>
      </c>
      <c r="C5" s="36">
        <v>0</v>
      </c>
      <c r="D5" s="36">
        <v>0</v>
      </c>
      <c r="E5" s="36">
        <v>0</v>
      </c>
      <c r="F5" s="36">
        <v>65000</v>
      </c>
      <c r="G5" s="36">
        <v>60000</v>
      </c>
    </row>
    <row r="6" spans="1:7" ht="15.75" x14ac:dyDescent="0.25">
      <c r="A6" s="3">
        <v>501000</v>
      </c>
      <c r="B6" s="4" t="s">
        <v>122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7" ht="15.75" x14ac:dyDescent="0.25">
      <c r="A7" s="3">
        <v>501100</v>
      </c>
      <c r="B7" s="4" t="s">
        <v>123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ht="16.5" thickBot="1" x14ac:dyDescent="0.3">
      <c r="A8" s="3">
        <v>501250</v>
      </c>
      <c r="B8" s="4" t="s">
        <v>124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ht="16.5" thickBot="1" x14ac:dyDescent="0.3">
      <c r="A9" s="7" t="s">
        <v>10</v>
      </c>
      <c r="B9" s="8"/>
      <c r="C9" s="30">
        <f>SUM(C5:C8)</f>
        <v>0</v>
      </c>
      <c r="D9" s="30">
        <f>SUM(D5:D8)</f>
        <v>0</v>
      </c>
      <c r="E9" s="30">
        <f>SUM(E5:E8)</f>
        <v>0</v>
      </c>
      <c r="F9" s="30">
        <f>SUM(F5:F8)</f>
        <v>65000</v>
      </c>
      <c r="G9" s="30">
        <f>SUM(G5:G8)</f>
        <v>60000</v>
      </c>
    </row>
    <row r="11" spans="1:7" ht="15.75" thickBot="1" x14ac:dyDescent="0.25">
      <c r="A11" s="1" t="s">
        <v>8</v>
      </c>
      <c r="B11" s="1"/>
      <c r="C11" s="1"/>
      <c r="D11" s="1"/>
      <c r="E11" s="1"/>
      <c r="F11" s="1"/>
      <c r="G11" s="1"/>
    </row>
    <row r="12" spans="1:7" ht="56.25" x14ac:dyDescent="0.2">
      <c r="A12" s="5" t="s">
        <v>1</v>
      </c>
      <c r="B12" s="5" t="s">
        <v>2</v>
      </c>
      <c r="C12" s="77" t="s">
        <v>6</v>
      </c>
      <c r="D12" s="77" t="s">
        <v>5</v>
      </c>
      <c r="E12" s="77" t="s">
        <v>350</v>
      </c>
      <c r="F12" s="77" t="s">
        <v>349</v>
      </c>
      <c r="G12" s="77" t="s">
        <v>348</v>
      </c>
    </row>
    <row r="13" spans="1:7" ht="15.75" customHeight="1" x14ac:dyDescent="0.25">
      <c r="A13" s="3">
        <v>510250</v>
      </c>
      <c r="B13" s="4" t="s">
        <v>140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ht="15.75" x14ac:dyDescent="0.25">
      <c r="A14" s="3">
        <v>510350</v>
      </c>
      <c r="B14" s="4" t="s">
        <v>142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ht="15.75" x14ac:dyDescent="0.25">
      <c r="A15" s="3">
        <v>510550</v>
      </c>
      <c r="B15" s="4" t="s">
        <v>146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ht="15.75" x14ac:dyDescent="0.25">
      <c r="A16" s="3">
        <v>511100</v>
      </c>
      <c r="B16" s="4" t="s">
        <v>155</v>
      </c>
      <c r="C16" s="6">
        <v>0</v>
      </c>
      <c r="D16" s="6">
        <v>0</v>
      </c>
      <c r="E16" s="6">
        <v>0</v>
      </c>
      <c r="F16" s="6">
        <v>1000</v>
      </c>
      <c r="G16" s="6">
        <v>0</v>
      </c>
    </row>
    <row r="17" spans="1:7" ht="16.5" thickBot="1" x14ac:dyDescent="0.3">
      <c r="A17" s="3">
        <v>519000</v>
      </c>
      <c r="B17" s="4" t="s">
        <v>125</v>
      </c>
      <c r="C17" s="6">
        <v>0</v>
      </c>
      <c r="D17" s="6">
        <v>0</v>
      </c>
      <c r="E17" s="6">
        <v>0</v>
      </c>
      <c r="F17" s="6">
        <v>1000</v>
      </c>
      <c r="G17" s="6">
        <v>0</v>
      </c>
    </row>
    <row r="18" spans="1:7" ht="16.5" thickBot="1" x14ac:dyDescent="0.3">
      <c r="A18" s="7" t="s">
        <v>11</v>
      </c>
      <c r="B18" s="8"/>
      <c r="C18" s="30">
        <f>SUM(C13:C17)</f>
        <v>0</v>
      </c>
      <c r="D18" s="30">
        <f>SUM(D13:D17)</f>
        <v>0</v>
      </c>
      <c r="E18" s="30">
        <f>SUM(E13:E17)</f>
        <v>0</v>
      </c>
      <c r="F18" s="30">
        <f>SUM(F13:F17)</f>
        <v>2000</v>
      </c>
      <c r="G18" s="30">
        <f>SUM(G13:G17)</f>
        <v>0</v>
      </c>
    </row>
    <row r="19" spans="1:7" ht="15.75" thickBot="1" x14ac:dyDescent="0.25"/>
    <row r="20" spans="1:7" ht="16.5" thickBot="1" x14ac:dyDescent="0.3">
      <c r="A20" s="9" t="s">
        <v>48</v>
      </c>
      <c r="B20" s="10"/>
      <c r="C20" s="10"/>
      <c r="D20" s="10"/>
      <c r="E20" s="10"/>
      <c r="F20" s="10"/>
      <c r="G20" s="10"/>
    </row>
    <row r="21" spans="1:7" ht="15" customHeight="1" x14ac:dyDescent="0.2">
      <c r="A21" s="150"/>
      <c r="B21" s="152" t="s">
        <v>12</v>
      </c>
      <c r="C21" s="154" t="s">
        <v>6</v>
      </c>
      <c r="D21" s="154" t="s">
        <v>5</v>
      </c>
      <c r="E21" s="154" t="s">
        <v>350</v>
      </c>
      <c r="F21" s="154" t="s">
        <v>349</v>
      </c>
      <c r="G21" s="154" t="s">
        <v>348</v>
      </c>
    </row>
    <row r="22" spans="1:7" ht="43.5" customHeight="1" thickBot="1" x14ac:dyDescent="0.25">
      <c r="A22" s="151"/>
      <c r="B22" s="153"/>
      <c r="C22" s="155"/>
      <c r="D22" s="155"/>
      <c r="E22" s="155"/>
      <c r="F22" s="155"/>
      <c r="G22" s="155"/>
    </row>
    <row r="23" spans="1:7" ht="15.75" x14ac:dyDescent="0.25">
      <c r="A23" s="3"/>
      <c r="B23" s="4" t="s">
        <v>13</v>
      </c>
      <c r="C23" s="36">
        <f>C9</f>
        <v>0</v>
      </c>
      <c r="D23" s="36">
        <f>D9</f>
        <v>0</v>
      </c>
      <c r="E23" s="36">
        <f>E9</f>
        <v>0</v>
      </c>
      <c r="F23" s="36">
        <f>F9</f>
        <v>65000</v>
      </c>
      <c r="G23" s="36">
        <f>G9</f>
        <v>60000</v>
      </c>
    </row>
    <row r="24" spans="1:7" ht="15.75" x14ac:dyDescent="0.25">
      <c r="A24" s="3"/>
      <c r="B24" s="4" t="s">
        <v>14</v>
      </c>
      <c r="C24" s="6">
        <f>C18</f>
        <v>0</v>
      </c>
      <c r="D24" s="6">
        <f>D18</f>
        <v>0</v>
      </c>
      <c r="E24" s="6">
        <f>E18</f>
        <v>0</v>
      </c>
      <c r="F24" s="6">
        <f>F18</f>
        <v>2000</v>
      </c>
      <c r="G24" s="6">
        <f>G18</f>
        <v>0</v>
      </c>
    </row>
    <row r="25" spans="1:7" ht="16.5" thickBot="1" x14ac:dyDescent="0.3">
      <c r="A25" s="3"/>
      <c r="B25" s="4" t="s">
        <v>15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ht="15.75" x14ac:dyDescent="0.25">
      <c r="A26" s="11" t="s">
        <v>16</v>
      </c>
      <c r="B26" s="12"/>
      <c r="C26" s="31">
        <f>SUM(C23:C25)</f>
        <v>0</v>
      </c>
      <c r="D26" s="31">
        <f>SUM(D23:D25)</f>
        <v>0</v>
      </c>
      <c r="E26" s="31">
        <f>SUM(E23:E25)</f>
        <v>0</v>
      </c>
      <c r="F26" s="31">
        <f>SUM(F23:F25)</f>
        <v>67000</v>
      </c>
      <c r="G26" s="31">
        <f>SUM(G23:G25)</f>
        <v>60000</v>
      </c>
    </row>
  </sheetData>
  <mergeCells count="9">
    <mergeCell ref="A1:G1"/>
    <mergeCell ref="G21:G22"/>
    <mergeCell ref="A2:F2"/>
    <mergeCell ref="A21:A22"/>
    <mergeCell ref="B21:B22"/>
    <mergeCell ref="C21:C22"/>
    <mergeCell ref="D21:D22"/>
    <mergeCell ref="E21:E22"/>
    <mergeCell ref="F21:F22"/>
  </mergeCells>
  <pageMargins left="0.45" right="0.45" top="0.75" bottom="0.75" header="0.3" footer="0.3"/>
  <pageSetup scale="74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A3E5-1BB4-47AD-8D5B-44EC9537A409}">
  <sheetPr>
    <pageSetUpPr fitToPage="1"/>
  </sheetPr>
  <dimension ref="A1:L33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11" width="9.140625" style="2"/>
    <col min="12" max="12" width="14.7109375" style="2" bestFit="1" customWidth="1"/>
    <col min="13" max="16384" width="9.140625" style="2"/>
  </cols>
  <sheetData>
    <row r="1" spans="1:7" ht="34.5" x14ac:dyDescent="0.45">
      <c r="A1" s="144" t="s">
        <v>20</v>
      </c>
      <c r="B1" s="144"/>
      <c r="C1" s="144"/>
      <c r="D1" s="144"/>
      <c r="E1" s="144"/>
      <c r="F1" s="144"/>
      <c r="G1" s="144"/>
    </row>
    <row r="2" spans="1:7" x14ac:dyDescent="0.2">
      <c r="A2" s="145"/>
      <c r="B2" s="145"/>
      <c r="C2" s="145"/>
      <c r="D2" s="145"/>
      <c r="E2" s="145"/>
      <c r="F2" s="145"/>
    </row>
    <row r="3" spans="1:7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7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7" ht="15.75" x14ac:dyDescent="0.25">
      <c r="A5" s="3">
        <v>500000</v>
      </c>
      <c r="B5" s="4" t="s">
        <v>119</v>
      </c>
      <c r="C5" s="35">
        <v>11606</v>
      </c>
      <c r="D5" s="35">
        <v>17788.75</v>
      </c>
      <c r="E5" s="35">
        <v>22104</v>
      </c>
      <c r="F5" s="35">
        <v>20000</v>
      </c>
      <c r="G5" s="35">
        <v>25000</v>
      </c>
    </row>
    <row r="6" spans="1:7" ht="15.75" x14ac:dyDescent="0.25">
      <c r="A6" s="3">
        <v>501000</v>
      </c>
      <c r="B6" s="4" t="s">
        <v>122</v>
      </c>
      <c r="C6" s="6">
        <v>641.58000000000004</v>
      </c>
      <c r="D6" s="6">
        <v>1360.85</v>
      </c>
      <c r="E6" s="6">
        <v>1642</v>
      </c>
      <c r="F6" s="6">
        <v>1150</v>
      </c>
      <c r="G6" s="35">
        <v>3400</v>
      </c>
    </row>
    <row r="7" spans="1:7" ht="15.75" x14ac:dyDescent="0.25">
      <c r="A7" s="3">
        <v>501100</v>
      </c>
      <c r="B7" s="4" t="s">
        <v>123</v>
      </c>
      <c r="C7" s="6">
        <v>0</v>
      </c>
      <c r="D7" s="6">
        <v>0</v>
      </c>
      <c r="E7" s="6">
        <v>0</v>
      </c>
      <c r="F7" s="6">
        <v>0</v>
      </c>
      <c r="G7" s="35">
        <f t="shared" ref="G7:G8" si="0">F7*1.02</f>
        <v>0</v>
      </c>
    </row>
    <row r="8" spans="1:7" ht="16.5" thickBot="1" x14ac:dyDescent="0.3">
      <c r="A8" s="3">
        <v>501250</v>
      </c>
      <c r="B8" s="4" t="s">
        <v>124</v>
      </c>
      <c r="C8" s="6">
        <v>7.67</v>
      </c>
      <c r="D8" s="6">
        <v>9.94</v>
      </c>
      <c r="E8" s="6">
        <v>12</v>
      </c>
      <c r="F8" s="6">
        <v>25</v>
      </c>
      <c r="G8" s="35">
        <f t="shared" si="0"/>
        <v>25.5</v>
      </c>
    </row>
    <row r="9" spans="1:7" ht="16.5" thickBot="1" x14ac:dyDescent="0.3">
      <c r="A9" s="7" t="s">
        <v>10</v>
      </c>
      <c r="B9" s="8"/>
      <c r="C9" s="30">
        <f>SUM(C5:C8)</f>
        <v>12255.25</v>
      </c>
      <c r="D9" s="30">
        <f>SUM(D5:D8)</f>
        <v>19159.539999999997</v>
      </c>
      <c r="E9" s="30">
        <f>SUM(E5:E8)</f>
        <v>23758</v>
      </c>
      <c r="F9" s="30">
        <f>SUM(F5:F8)</f>
        <v>21175</v>
      </c>
      <c r="G9" s="30">
        <f>SUM(G5:G8)</f>
        <v>28425.5</v>
      </c>
    </row>
    <row r="11" spans="1:7" ht="15.75" thickBot="1" x14ac:dyDescent="0.25">
      <c r="A11" s="1" t="s">
        <v>8</v>
      </c>
      <c r="B11" s="1"/>
      <c r="C11" s="1"/>
      <c r="D11" s="1"/>
      <c r="E11" s="1"/>
      <c r="F11" s="1"/>
      <c r="G11" s="1"/>
    </row>
    <row r="12" spans="1:7" ht="56.25" x14ac:dyDescent="0.2">
      <c r="A12" s="5" t="s">
        <v>1</v>
      </c>
      <c r="B12" s="5" t="s">
        <v>2</v>
      </c>
      <c r="C12" s="77" t="s">
        <v>6</v>
      </c>
      <c r="D12" s="77" t="s">
        <v>5</v>
      </c>
      <c r="E12" s="77" t="s">
        <v>350</v>
      </c>
      <c r="F12" s="77" t="s">
        <v>349</v>
      </c>
      <c r="G12" s="77" t="s">
        <v>348</v>
      </c>
    </row>
    <row r="13" spans="1:7" ht="15.75" x14ac:dyDescent="0.25">
      <c r="A13" s="3">
        <v>510625</v>
      </c>
      <c r="B13" s="4" t="s">
        <v>164</v>
      </c>
      <c r="C13" s="35">
        <v>69493.89</v>
      </c>
      <c r="D13" s="35">
        <v>90039.94</v>
      </c>
      <c r="E13" s="35">
        <v>120352</v>
      </c>
      <c r="F13" s="35">
        <v>70000</v>
      </c>
      <c r="G13" s="35">
        <f>77000-14500</f>
        <v>62500</v>
      </c>
    </row>
    <row r="14" spans="1:7" ht="15.75" x14ac:dyDescent="0.25">
      <c r="A14" s="3">
        <v>510825</v>
      </c>
      <c r="B14" s="4" t="s">
        <v>165</v>
      </c>
      <c r="C14" s="6">
        <v>0</v>
      </c>
      <c r="D14" s="6">
        <v>0</v>
      </c>
      <c r="E14" s="6">
        <v>98</v>
      </c>
      <c r="F14" s="6">
        <v>0</v>
      </c>
      <c r="G14" s="6">
        <v>0</v>
      </c>
    </row>
    <row r="15" spans="1:7" ht="15.75" x14ac:dyDescent="0.25">
      <c r="A15" s="3">
        <v>519000</v>
      </c>
      <c r="B15" s="4" t="s">
        <v>125</v>
      </c>
      <c r="C15" s="6">
        <v>0</v>
      </c>
      <c r="D15" s="6">
        <v>0</v>
      </c>
      <c r="E15" s="6">
        <v>0</v>
      </c>
      <c r="F15" s="6">
        <v>500</v>
      </c>
      <c r="G15" s="6">
        <v>500</v>
      </c>
    </row>
    <row r="16" spans="1:7" ht="15.75" x14ac:dyDescent="0.25">
      <c r="A16" s="3">
        <v>510900</v>
      </c>
      <c r="B16" s="4" t="s">
        <v>152</v>
      </c>
      <c r="C16" s="6">
        <v>0</v>
      </c>
      <c r="D16" s="6">
        <v>0</v>
      </c>
      <c r="E16" s="6">
        <v>0</v>
      </c>
      <c r="F16" s="6">
        <v>7500</v>
      </c>
      <c r="G16" s="6">
        <v>5000</v>
      </c>
    </row>
    <row r="17" spans="1:12" ht="15.75" x14ac:dyDescent="0.25">
      <c r="A17" s="3">
        <v>550300</v>
      </c>
      <c r="B17" s="4" t="s">
        <v>166</v>
      </c>
      <c r="C17" s="6">
        <v>18750</v>
      </c>
      <c r="D17" s="6">
        <v>18550</v>
      </c>
      <c r="E17" s="6">
        <v>19250</v>
      </c>
      <c r="F17" s="6">
        <v>18000</v>
      </c>
      <c r="G17" s="6">
        <v>21000</v>
      </c>
    </row>
    <row r="18" spans="1:12" ht="16.5" thickBot="1" x14ac:dyDescent="0.3">
      <c r="A18" s="3">
        <v>580800</v>
      </c>
      <c r="B18" s="4" t="s">
        <v>167</v>
      </c>
      <c r="C18" s="6">
        <v>833.2</v>
      </c>
      <c r="D18" s="6">
        <v>2429.6999999999998</v>
      </c>
      <c r="E18" s="6">
        <v>2430</v>
      </c>
      <c r="F18" s="6"/>
      <c r="G18" s="6"/>
    </row>
    <row r="19" spans="1:12" ht="16.5" thickBot="1" x14ac:dyDescent="0.3">
      <c r="A19" s="7" t="s">
        <v>11</v>
      </c>
      <c r="B19" s="8"/>
      <c r="C19" s="30">
        <f>SUM(C13:C18)</f>
        <v>89077.09</v>
      </c>
      <c r="D19" s="30">
        <f>SUM(D13:D18)</f>
        <v>111019.64</v>
      </c>
      <c r="E19" s="30">
        <f>SUM(E13:E18)</f>
        <v>142130</v>
      </c>
      <c r="F19" s="30">
        <f>SUM(F13:F18)</f>
        <v>96000</v>
      </c>
      <c r="G19" s="30">
        <f>SUM(G13:G18)</f>
        <v>89000</v>
      </c>
    </row>
    <row r="20" spans="1:12" ht="15.75" thickBot="1" x14ac:dyDescent="0.25"/>
    <row r="21" spans="1:12" ht="16.5" thickBot="1" x14ac:dyDescent="0.3">
      <c r="A21" s="9" t="s">
        <v>48</v>
      </c>
      <c r="B21" s="10"/>
      <c r="C21" s="10"/>
      <c r="D21" s="10"/>
      <c r="E21" s="10"/>
      <c r="F21" s="10"/>
      <c r="G21" s="10"/>
    </row>
    <row r="22" spans="1:12" ht="15" customHeight="1" x14ac:dyDescent="0.2">
      <c r="A22" s="150"/>
      <c r="B22" s="152" t="s">
        <v>12</v>
      </c>
      <c r="C22" s="154" t="s">
        <v>6</v>
      </c>
      <c r="D22" s="154" t="s">
        <v>5</v>
      </c>
      <c r="E22" s="154" t="s">
        <v>350</v>
      </c>
      <c r="F22" s="154" t="s">
        <v>349</v>
      </c>
      <c r="G22" s="154" t="s">
        <v>348</v>
      </c>
    </row>
    <row r="23" spans="1:12" ht="45.75" customHeight="1" thickBot="1" x14ac:dyDescent="0.25">
      <c r="A23" s="151"/>
      <c r="B23" s="153"/>
      <c r="C23" s="163"/>
      <c r="D23" s="163"/>
      <c r="E23" s="163"/>
      <c r="F23" s="163"/>
      <c r="G23" s="163"/>
    </row>
    <row r="24" spans="1:12" ht="15.75" x14ac:dyDescent="0.25">
      <c r="A24" s="3"/>
      <c r="B24" s="4" t="s">
        <v>13</v>
      </c>
      <c r="C24" s="35">
        <f>C9</f>
        <v>12255.25</v>
      </c>
      <c r="D24" s="35">
        <f>D9</f>
        <v>19159.539999999997</v>
      </c>
      <c r="E24" s="35">
        <f>E9</f>
        <v>23758</v>
      </c>
      <c r="F24" s="35">
        <f>F9</f>
        <v>21175</v>
      </c>
      <c r="G24" s="35">
        <f>G9</f>
        <v>28425.5</v>
      </c>
    </row>
    <row r="25" spans="1:12" ht="15.75" x14ac:dyDescent="0.25">
      <c r="A25" s="3"/>
      <c r="B25" s="4" t="s">
        <v>14</v>
      </c>
      <c r="C25" s="6">
        <f>C19</f>
        <v>89077.09</v>
      </c>
      <c r="D25" s="6">
        <f>D19</f>
        <v>111019.64</v>
      </c>
      <c r="E25" s="6">
        <f>E19</f>
        <v>142130</v>
      </c>
      <c r="F25" s="6">
        <f>F19</f>
        <v>96000</v>
      </c>
      <c r="G25" s="6">
        <f>G19</f>
        <v>89000</v>
      </c>
    </row>
    <row r="26" spans="1:12" ht="16.5" thickBot="1" x14ac:dyDescent="0.3">
      <c r="A26" s="3"/>
      <c r="B26" s="4" t="s">
        <v>15</v>
      </c>
      <c r="C26" s="6">
        <v>104013.69</v>
      </c>
      <c r="D26" s="6">
        <v>0</v>
      </c>
      <c r="E26" s="6">
        <v>0</v>
      </c>
      <c r="F26" s="6">
        <v>0</v>
      </c>
      <c r="G26" s="6">
        <v>20000</v>
      </c>
      <c r="H26" s="2" t="s">
        <v>407</v>
      </c>
    </row>
    <row r="27" spans="1:12" ht="15.75" x14ac:dyDescent="0.25">
      <c r="A27" s="11" t="s">
        <v>16</v>
      </c>
      <c r="B27" s="12"/>
      <c r="C27" s="31">
        <f>SUM(C24:C26)</f>
        <v>205346.03</v>
      </c>
      <c r="D27" s="31">
        <f>SUM(D24:D26)</f>
        <v>130179.18</v>
      </c>
      <c r="E27" s="31">
        <f>SUM(E24:E26)</f>
        <v>165888</v>
      </c>
      <c r="F27" s="31">
        <f>SUM(F24:F26)</f>
        <v>117175</v>
      </c>
      <c r="G27" s="31">
        <f>SUM(G24:G26)</f>
        <v>137425.5</v>
      </c>
      <c r="J27"/>
      <c r="K27"/>
      <c r="L27"/>
    </row>
    <row r="29" spans="1:12" x14ac:dyDescent="0.2">
      <c r="A29" s="89" t="s">
        <v>403</v>
      </c>
    </row>
    <row r="31" spans="1:12" x14ac:dyDescent="0.2">
      <c r="A31" s="2" t="s">
        <v>404</v>
      </c>
    </row>
    <row r="32" spans="1:12" x14ac:dyDescent="0.2">
      <c r="A32" s="2" t="s">
        <v>406</v>
      </c>
    </row>
    <row r="33" spans="1:1" x14ac:dyDescent="0.2">
      <c r="A33" s="2" t="s">
        <v>405</v>
      </c>
    </row>
  </sheetData>
  <mergeCells count="9">
    <mergeCell ref="A1:G1"/>
    <mergeCell ref="G22:G23"/>
    <mergeCell ref="A2:F2"/>
    <mergeCell ref="A22:A23"/>
    <mergeCell ref="B22:B23"/>
    <mergeCell ref="C22:C23"/>
    <mergeCell ref="D22:D23"/>
    <mergeCell ref="E22:E23"/>
    <mergeCell ref="F22:F23"/>
  </mergeCells>
  <pageMargins left="0.45" right="0.45" top="0.75" bottom="0.75" header="0.3" footer="0.3"/>
  <pageSetup scale="55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2464-3695-46AA-B2CE-8093E0E7D815}">
  <sheetPr>
    <pageSetUpPr fitToPage="1"/>
  </sheetPr>
  <dimension ref="A1:K30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16384" width="9.140625" style="2"/>
  </cols>
  <sheetData>
    <row r="1" spans="1:11" ht="34.5" x14ac:dyDescent="0.45">
      <c r="A1" s="144" t="s">
        <v>23</v>
      </c>
      <c r="B1" s="144"/>
      <c r="C1" s="144"/>
      <c r="D1" s="144"/>
      <c r="E1" s="144"/>
      <c r="F1" s="144"/>
      <c r="G1" s="144"/>
    </row>
    <row r="2" spans="1:11" x14ac:dyDescent="0.2">
      <c r="A2" s="145"/>
      <c r="B2" s="145"/>
      <c r="C2" s="145"/>
      <c r="D2" s="145"/>
      <c r="E2" s="145"/>
      <c r="F2" s="145"/>
    </row>
    <row r="3" spans="1:11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11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11" ht="15.75" x14ac:dyDescent="0.25">
      <c r="A5" s="3">
        <v>500000</v>
      </c>
      <c r="B5" s="4" t="s">
        <v>119</v>
      </c>
      <c r="C5" s="36">
        <v>25410.95</v>
      </c>
      <c r="D5" s="36">
        <v>0</v>
      </c>
      <c r="E5" s="36">
        <v>0</v>
      </c>
      <c r="F5" s="36">
        <v>45000</v>
      </c>
      <c r="G5" s="36">
        <v>0</v>
      </c>
    </row>
    <row r="6" spans="1:11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36">
        <v>0</v>
      </c>
    </row>
    <row r="7" spans="1:11" ht="15.75" x14ac:dyDescent="0.25">
      <c r="A7" s="3">
        <v>501000</v>
      </c>
      <c r="B7" s="4" t="s">
        <v>122</v>
      </c>
      <c r="C7" s="6">
        <v>1818.63</v>
      </c>
      <c r="D7" s="6">
        <v>0</v>
      </c>
      <c r="E7" s="6">
        <v>0</v>
      </c>
      <c r="F7" s="6">
        <v>3250</v>
      </c>
      <c r="G7" s="6">
        <v>0</v>
      </c>
    </row>
    <row r="8" spans="1:11" ht="15.75" x14ac:dyDescent="0.25">
      <c r="A8" s="3">
        <v>501100</v>
      </c>
      <c r="B8" s="4" t="s">
        <v>123</v>
      </c>
      <c r="C8" s="6">
        <v>14409</v>
      </c>
      <c r="D8" s="6">
        <v>0</v>
      </c>
      <c r="E8" s="6">
        <v>0</v>
      </c>
      <c r="F8" s="6">
        <v>20400</v>
      </c>
      <c r="G8" s="6">
        <v>0</v>
      </c>
    </row>
    <row r="9" spans="1:11" ht="15.75" x14ac:dyDescent="0.25">
      <c r="A9" s="3">
        <v>501150</v>
      </c>
      <c r="B9" s="4" t="s">
        <v>168</v>
      </c>
      <c r="C9" s="6">
        <v>125.09</v>
      </c>
      <c r="D9" s="6">
        <v>0</v>
      </c>
      <c r="E9" s="6">
        <v>0</v>
      </c>
      <c r="F9" s="6">
        <v>200</v>
      </c>
      <c r="G9" s="6">
        <v>0</v>
      </c>
    </row>
    <row r="10" spans="1:11" ht="15.75" x14ac:dyDescent="0.25">
      <c r="A10" s="3">
        <v>501200</v>
      </c>
      <c r="B10" s="4" t="s">
        <v>130</v>
      </c>
      <c r="C10" s="6">
        <v>4868.26</v>
      </c>
      <c r="D10" s="6">
        <v>0</v>
      </c>
      <c r="E10" s="6">
        <v>0</v>
      </c>
      <c r="F10" s="6">
        <v>5000</v>
      </c>
      <c r="G10" s="6">
        <v>0</v>
      </c>
      <c r="K10" s="2" t="s">
        <v>215</v>
      </c>
    </row>
    <row r="11" spans="1:11" ht="15.75" x14ac:dyDescent="0.25">
      <c r="A11" s="3">
        <v>501225</v>
      </c>
      <c r="B11" s="4" t="s">
        <v>131</v>
      </c>
      <c r="C11" s="6">
        <v>226.62</v>
      </c>
      <c r="D11" s="6">
        <v>0</v>
      </c>
      <c r="E11" s="6">
        <v>0</v>
      </c>
      <c r="F11" s="6">
        <v>600</v>
      </c>
      <c r="G11" s="6">
        <v>0</v>
      </c>
    </row>
    <row r="12" spans="1:11" ht="16.5" thickBot="1" x14ac:dyDescent="0.3">
      <c r="A12" s="3">
        <v>501250</v>
      </c>
      <c r="B12" s="4" t="s">
        <v>124</v>
      </c>
      <c r="C12" s="6">
        <v>20.2</v>
      </c>
      <c r="D12" s="6">
        <v>3.46</v>
      </c>
      <c r="E12" s="6">
        <v>0</v>
      </c>
      <c r="F12" s="6">
        <v>35</v>
      </c>
      <c r="G12" s="6">
        <v>0</v>
      </c>
    </row>
    <row r="13" spans="1:11" ht="16.5" thickBot="1" x14ac:dyDescent="0.3">
      <c r="A13" s="7" t="s">
        <v>10</v>
      </c>
      <c r="B13" s="8"/>
      <c r="C13" s="30">
        <f>SUM(C5:C12)</f>
        <v>46878.75</v>
      </c>
      <c r="D13" s="30">
        <f>SUM(D5:D12)</f>
        <v>3.46</v>
      </c>
      <c r="E13" s="30">
        <f>SUM(E5:E12)</f>
        <v>0</v>
      </c>
      <c r="F13" s="30">
        <f>SUM(F5:F12)</f>
        <v>74485</v>
      </c>
      <c r="G13" s="30">
        <f>SUM(G5:G12)</f>
        <v>0</v>
      </c>
    </row>
    <row r="15" spans="1:11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11" ht="56.25" x14ac:dyDescent="0.2">
      <c r="A16" s="5" t="s">
        <v>1</v>
      </c>
      <c r="B16" s="5" t="s">
        <v>2</v>
      </c>
      <c r="C16" s="77" t="s">
        <v>6</v>
      </c>
      <c r="D16" s="77" t="s">
        <v>5</v>
      </c>
      <c r="E16" s="77" t="s">
        <v>350</v>
      </c>
      <c r="F16" s="77" t="s">
        <v>349</v>
      </c>
      <c r="G16" s="77" t="s">
        <v>348</v>
      </c>
    </row>
    <row r="17" spans="1:7" ht="15.75" x14ac:dyDescent="0.25">
      <c r="A17" s="3">
        <v>510800</v>
      </c>
      <c r="B17" s="4" t="s">
        <v>169</v>
      </c>
      <c r="C17" s="36">
        <v>0</v>
      </c>
      <c r="D17" s="36">
        <v>0</v>
      </c>
      <c r="E17" s="36">
        <v>0</v>
      </c>
      <c r="F17" s="36">
        <v>200</v>
      </c>
      <c r="G17" s="36">
        <v>0</v>
      </c>
    </row>
    <row r="18" spans="1:7" ht="15.75" x14ac:dyDescent="0.25">
      <c r="A18" s="3">
        <v>510550</v>
      </c>
      <c r="B18" s="4" t="s">
        <v>146</v>
      </c>
      <c r="C18" s="6"/>
      <c r="D18" s="6"/>
      <c r="E18" s="6">
        <v>0</v>
      </c>
      <c r="F18" s="6"/>
      <c r="G18" s="6">
        <v>0</v>
      </c>
    </row>
    <row r="19" spans="1:7" ht="15.75" x14ac:dyDescent="0.25">
      <c r="A19" s="3">
        <v>511100</v>
      </c>
      <c r="B19" s="4" t="s">
        <v>155</v>
      </c>
      <c r="C19" s="6">
        <v>0</v>
      </c>
      <c r="D19" s="6">
        <v>225</v>
      </c>
      <c r="E19" s="6">
        <v>18182</v>
      </c>
      <c r="F19" s="6">
        <v>1000</v>
      </c>
      <c r="G19" s="6">
        <v>0</v>
      </c>
    </row>
    <row r="20" spans="1:7" ht="15.75" x14ac:dyDescent="0.25">
      <c r="A20" s="3">
        <v>519000</v>
      </c>
      <c r="B20" s="4" t="s">
        <v>125</v>
      </c>
      <c r="C20" s="6">
        <v>1925.14</v>
      </c>
      <c r="D20" s="6">
        <v>50703.69</v>
      </c>
      <c r="E20" s="6">
        <v>2405</v>
      </c>
      <c r="F20" s="6">
        <v>1000</v>
      </c>
      <c r="G20" s="6">
        <v>0</v>
      </c>
    </row>
    <row r="21" spans="1:7" ht="16.5" thickBot="1" x14ac:dyDescent="0.3">
      <c r="A21" s="27">
        <v>525150</v>
      </c>
      <c r="B21" s="28" t="s">
        <v>288</v>
      </c>
      <c r="C21" s="29">
        <v>0</v>
      </c>
      <c r="D21" s="29">
        <v>17376.62</v>
      </c>
      <c r="E21" s="29">
        <v>9500</v>
      </c>
      <c r="F21" s="29">
        <v>4000</v>
      </c>
      <c r="G21" s="29">
        <v>0</v>
      </c>
    </row>
    <row r="22" spans="1:7" ht="16.5" thickBot="1" x14ac:dyDescent="0.3">
      <c r="A22" s="7" t="s">
        <v>11</v>
      </c>
      <c r="B22" s="8"/>
      <c r="C22" s="30">
        <f>SUM(C17:C21)</f>
        <v>1925.14</v>
      </c>
      <c r="D22" s="30">
        <f>SUM(D17:D21)</f>
        <v>68305.31</v>
      </c>
      <c r="E22" s="30">
        <f>SUM(E17:E21)</f>
        <v>30087</v>
      </c>
      <c r="F22" s="30">
        <f>SUM(F17:F21)</f>
        <v>6200</v>
      </c>
      <c r="G22" s="30">
        <f>SUM(G17:G21)</f>
        <v>0</v>
      </c>
    </row>
    <row r="23" spans="1:7" ht="15.75" thickBot="1" x14ac:dyDescent="0.25"/>
    <row r="24" spans="1:7" ht="16.5" thickBot="1" x14ac:dyDescent="0.3">
      <c r="A24" s="9" t="s">
        <v>48</v>
      </c>
      <c r="B24" s="10"/>
      <c r="C24" s="10"/>
      <c r="D24" s="10"/>
      <c r="E24" s="10"/>
      <c r="F24" s="10"/>
      <c r="G24" s="10"/>
    </row>
    <row r="25" spans="1:7" ht="15" customHeight="1" x14ac:dyDescent="0.2">
      <c r="A25" s="150"/>
      <c r="B25" s="152" t="s">
        <v>12</v>
      </c>
      <c r="C25" s="154" t="s">
        <v>6</v>
      </c>
      <c r="D25" s="154" t="s">
        <v>5</v>
      </c>
      <c r="E25" s="154" t="s">
        <v>350</v>
      </c>
      <c r="F25" s="154" t="s">
        <v>349</v>
      </c>
      <c r="G25" s="154" t="s">
        <v>348</v>
      </c>
    </row>
    <row r="26" spans="1:7" ht="47.25" customHeight="1" thickBot="1" x14ac:dyDescent="0.25">
      <c r="A26" s="151"/>
      <c r="B26" s="153"/>
      <c r="C26" s="155"/>
      <c r="D26" s="155"/>
      <c r="E26" s="155"/>
      <c r="F26" s="155"/>
      <c r="G26" s="155"/>
    </row>
    <row r="27" spans="1:7" ht="15.75" x14ac:dyDescent="0.25">
      <c r="A27" s="3"/>
      <c r="B27" s="4" t="s">
        <v>13</v>
      </c>
      <c r="C27" s="36">
        <f>C13</f>
        <v>46878.75</v>
      </c>
      <c r="D27" s="36">
        <f>D13</f>
        <v>3.46</v>
      </c>
      <c r="E27" s="36">
        <f>E13</f>
        <v>0</v>
      </c>
      <c r="F27" s="36">
        <f>F13</f>
        <v>74485</v>
      </c>
      <c r="G27" s="36">
        <f>G13</f>
        <v>0</v>
      </c>
    </row>
    <row r="28" spans="1:7" ht="15.75" x14ac:dyDescent="0.25">
      <c r="A28" s="3"/>
      <c r="B28" s="4" t="s">
        <v>14</v>
      </c>
      <c r="C28" s="6">
        <f>C22</f>
        <v>1925.14</v>
      </c>
      <c r="D28" s="6">
        <f>D22</f>
        <v>68305.31</v>
      </c>
      <c r="E28" s="6">
        <f>E22</f>
        <v>30087</v>
      </c>
      <c r="F28" s="6">
        <f>F22</f>
        <v>6200</v>
      </c>
      <c r="G28" s="6">
        <f>G22</f>
        <v>0</v>
      </c>
    </row>
    <row r="29" spans="1:7" ht="16.5" thickBot="1" x14ac:dyDescent="0.3">
      <c r="A29" s="3"/>
      <c r="B29" s="4" t="s">
        <v>15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ht="15.75" x14ac:dyDescent="0.25">
      <c r="A30" s="11" t="s">
        <v>16</v>
      </c>
      <c r="B30" s="12"/>
      <c r="C30" s="31">
        <f>SUM(C27:C29)</f>
        <v>48803.89</v>
      </c>
      <c r="D30" s="31">
        <f>SUM(D27:D29)</f>
        <v>68308.77</v>
      </c>
      <c r="E30" s="31">
        <f>SUM(E27:E29)</f>
        <v>30087</v>
      </c>
      <c r="F30" s="31">
        <f>SUM(F27:F29)</f>
        <v>80685</v>
      </c>
      <c r="G30" s="31">
        <f>SUM(G27:G29)</f>
        <v>0</v>
      </c>
    </row>
  </sheetData>
  <mergeCells count="9">
    <mergeCell ref="A1:G1"/>
    <mergeCell ref="G25:G26"/>
    <mergeCell ref="A2:F2"/>
    <mergeCell ref="A25:A26"/>
    <mergeCell ref="B25:B26"/>
    <mergeCell ref="C25:C26"/>
    <mergeCell ref="D25:D26"/>
    <mergeCell ref="E25:E26"/>
    <mergeCell ref="F25:F26"/>
  </mergeCells>
  <pageMargins left="0.45" right="0.45" top="0.75" bottom="0.75" header="0.3" footer="0.3"/>
  <pageSetup scale="61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22F7-C84F-4B0F-ABFB-6F602A3FC04C}">
  <sheetPr>
    <pageSetUpPr fitToPage="1"/>
  </sheetPr>
  <dimension ref="A1:K59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8" width="30" style="2" customWidth="1"/>
    <col min="9" max="10" width="9.140625" style="2"/>
    <col min="11" max="11" width="9.85546875" style="2" bestFit="1" customWidth="1"/>
    <col min="12" max="16384" width="9.140625" style="2"/>
  </cols>
  <sheetData>
    <row r="1" spans="1:11" ht="34.5" x14ac:dyDescent="0.45">
      <c r="A1" s="144" t="s">
        <v>21</v>
      </c>
      <c r="B1" s="144"/>
      <c r="C1" s="144"/>
      <c r="D1" s="144"/>
      <c r="E1" s="144"/>
      <c r="F1" s="144"/>
      <c r="G1" s="144"/>
    </row>
    <row r="2" spans="1:11" x14ac:dyDescent="0.2">
      <c r="A2" s="145"/>
      <c r="B2" s="145"/>
      <c r="C2" s="145"/>
      <c r="D2" s="145"/>
      <c r="E2" s="145"/>
      <c r="F2" s="145"/>
    </row>
    <row r="3" spans="1:11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11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11" ht="30.75" x14ac:dyDescent="0.25">
      <c r="A5" s="3">
        <v>500000</v>
      </c>
      <c r="B5" s="4" t="s">
        <v>119</v>
      </c>
      <c r="C5" s="36">
        <v>965089.02</v>
      </c>
      <c r="D5" s="36">
        <v>999684.41</v>
      </c>
      <c r="E5" s="36">
        <v>893462</v>
      </c>
      <c r="F5" s="36">
        <v>1054333</v>
      </c>
      <c r="G5" s="36">
        <f>905810+99882+48641-25000</f>
        <v>1029333</v>
      </c>
      <c r="H5" s="115" t="s">
        <v>438</v>
      </c>
    </row>
    <row r="6" spans="1:11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120735</v>
      </c>
      <c r="F6" s="6">
        <v>85000</v>
      </c>
      <c r="G6" s="36">
        <v>98000</v>
      </c>
    </row>
    <row r="7" spans="1:11" ht="15.75" x14ac:dyDescent="0.25">
      <c r="A7" s="3">
        <v>501000</v>
      </c>
      <c r="B7" s="4" t="s">
        <v>122</v>
      </c>
      <c r="C7" s="6">
        <v>70549.34</v>
      </c>
      <c r="D7" s="6">
        <v>74974.05</v>
      </c>
      <c r="E7" s="6">
        <v>77054</v>
      </c>
      <c r="F7" s="6">
        <v>78300</v>
      </c>
      <c r="G7" s="36">
        <f>85359*1005692/1054333</f>
        <v>81421.015398360862</v>
      </c>
    </row>
    <row r="8" spans="1:11" ht="45.75" x14ac:dyDescent="0.25">
      <c r="A8" s="3">
        <v>501100</v>
      </c>
      <c r="B8" s="4" t="s">
        <v>123</v>
      </c>
      <c r="C8" s="6">
        <v>249357</v>
      </c>
      <c r="D8" s="6">
        <v>212220</v>
      </c>
      <c r="E8" s="6">
        <v>172490</v>
      </c>
      <c r="F8" s="6">
        <v>225000</v>
      </c>
      <c r="G8" s="36">
        <f>171619*1.103-9001</f>
        <v>180294.75699999998</v>
      </c>
      <c r="H8" s="115" t="s">
        <v>439</v>
      </c>
      <c r="I8" s="114"/>
    </row>
    <row r="9" spans="1:11" ht="15.75" x14ac:dyDescent="0.25">
      <c r="A9" s="3">
        <v>501150</v>
      </c>
      <c r="B9" s="4" t="s">
        <v>129</v>
      </c>
      <c r="C9" s="6">
        <v>4690.8100000000004</v>
      </c>
      <c r="D9" s="6">
        <v>3736.08</v>
      </c>
      <c r="E9" s="6">
        <v>3947</v>
      </c>
      <c r="F9" s="6">
        <v>4000</v>
      </c>
      <c r="G9" s="36">
        <f>4403*1.103</f>
        <v>4856.509</v>
      </c>
      <c r="H9" s="2" t="s">
        <v>381</v>
      </c>
    </row>
    <row r="10" spans="1:11" ht="15.75" x14ac:dyDescent="0.25">
      <c r="A10" s="3">
        <v>501200</v>
      </c>
      <c r="B10" s="4" t="s">
        <v>130</v>
      </c>
      <c r="C10" s="6">
        <v>287691.44</v>
      </c>
      <c r="D10" s="6">
        <v>331185.03999999998</v>
      </c>
      <c r="E10" s="6">
        <v>353666</v>
      </c>
      <c r="F10" s="6">
        <v>295000</v>
      </c>
      <c r="G10" s="36">
        <v>457000</v>
      </c>
      <c r="H10" s="2" t="s">
        <v>382</v>
      </c>
    </row>
    <row r="11" spans="1:11" ht="15.75" x14ac:dyDescent="0.25">
      <c r="A11" s="3">
        <v>501225</v>
      </c>
      <c r="B11" s="4" t="s">
        <v>131</v>
      </c>
      <c r="C11" s="6">
        <v>667.78</v>
      </c>
      <c r="D11" s="6">
        <v>559.82000000000005</v>
      </c>
      <c r="E11" s="6">
        <v>687</v>
      </c>
      <c r="F11" s="6">
        <v>1000</v>
      </c>
      <c r="G11" s="36">
        <v>800</v>
      </c>
    </row>
    <row r="12" spans="1:11" ht="16.5" thickBot="1" x14ac:dyDescent="0.3">
      <c r="A12" s="3">
        <v>501250</v>
      </c>
      <c r="B12" s="4" t="s">
        <v>124</v>
      </c>
      <c r="C12" s="6">
        <v>35442.43</v>
      </c>
      <c r="D12" s="6">
        <v>37193.97</v>
      </c>
      <c r="E12" s="6">
        <v>24351</v>
      </c>
      <c r="F12" s="6">
        <v>38000</v>
      </c>
      <c r="G12" s="36">
        <v>40000</v>
      </c>
    </row>
    <row r="13" spans="1:11" ht="16.5" thickBot="1" x14ac:dyDescent="0.3">
      <c r="A13" s="7" t="s">
        <v>10</v>
      </c>
      <c r="B13" s="8"/>
      <c r="C13" s="30">
        <f>SUM(C5:C12)</f>
        <v>1613487.8199999998</v>
      </c>
      <c r="D13" s="30">
        <f>SUM(D5:D12)</f>
        <v>1659553.37</v>
      </c>
      <c r="E13" s="30">
        <f>SUM(E5:E12)</f>
        <v>1646392</v>
      </c>
      <c r="F13" s="30">
        <f>SUM(F5:F12)</f>
        <v>1780633</v>
      </c>
      <c r="G13" s="30">
        <f>SUM(G5:G12)</f>
        <v>1891705.2813983609</v>
      </c>
      <c r="K13" s="2" t="s">
        <v>215</v>
      </c>
    </row>
    <row r="15" spans="1:11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11" ht="56.25" x14ac:dyDescent="0.2">
      <c r="A16" s="5" t="s">
        <v>1</v>
      </c>
      <c r="B16" s="5" t="s">
        <v>2</v>
      </c>
      <c r="C16" s="77" t="s">
        <v>6</v>
      </c>
      <c r="D16" s="77" t="s">
        <v>5</v>
      </c>
      <c r="E16" s="77" t="s">
        <v>350</v>
      </c>
      <c r="F16" s="77" t="s">
        <v>349</v>
      </c>
      <c r="G16" s="77" t="s">
        <v>348</v>
      </c>
    </row>
    <row r="17" spans="1:7" ht="15.75" x14ac:dyDescent="0.25">
      <c r="A17" s="3">
        <v>501300</v>
      </c>
      <c r="B17" s="4" t="s">
        <v>132</v>
      </c>
      <c r="C17" s="36">
        <v>3043.28</v>
      </c>
      <c r="D17" s="36">
        <v>3367.84</v>
      </c>
      <c r="E17" s="36">
        <v>3554.92</v>
      </c>
      <c r="F17" s="36">
        <v>3500</v>
      </c>
      <c r="G17" s="36">
        <v>3500</v>
      </c>
    </row>
    <row r="18" spans="1:7" ht="15.75" x14ac:dyDescent="0.25">
      <c r="A18" s="3">
        <v>501350</v>
      </c>
      <c r="B18" s="4" t="s">
        <v>133</v>
      </c>
      <c r="C18" s="6">
        <v>8733</v>
      </c>
      <c r="D18" s="36">
        <v>8130</v>
      </c>
      <c r="E18" s="6">
        <v>8724</v>
      </c>
      <c r="F18" s="6">
        <v>9200</v>
      </c>
      <c r="G18" s="6">
        <v>10000</v>
      </c>
    </row>
    <row r="19" spans="1:7" ht="15.75" x14ac:dyDescent="0.25">
      <c r="A19" s="3">
        <v>510150</v>
      </c>
      <c r="B19" s="4" t="s">
        <v>138</v>
      </c>
      <c r="C19" s="6">
        <v>1738.7</v>
      </c>
      <c r="D19" s="36">
        <v>150</v>
      </c>
      <c r="E19" s="6">
        <v>314.64</v>
      </c>
      <c r="F19" s="6">
        <v>3000</v>
      </c>
      <c r="G19" s="6">
        <v>3500</v>
      </c>
    </row>
    <row r="20" spans="1:7" ht="15.75" x14ac:dyDescent="0.25">
      <c r="A20" s="3">
        <v>510250</v>
      </c>
      <c r="B20" s="4" t="s">
        <v>140</v>
      </c>
      <c r="C20" s="6">
        <v>689.12</v>
      </c>
      <c r="D20" s="36">
        <v>7856</v>
      </c>
      <c r="E20" s="6">
        <v>8190</v>
      </c>
      <c r="F20" s="6">
        <v>12000</v>
      </c>
      <c r="G20" s="6">
        <v>11500</v>
      </c>
    </row>
    <row r="21" spans="1:7" ht="15.75" x14ac:dyDescent="0.25">
      <c r="A21" s="3">
        <v>510350</v>
      </c>
      <c r="B21" s="4" t="s">
        <v>142</v>
      </c>
      <c r="C21" s="6">
        <v>3189.5</v>
      </c>
      <c r="D21" s="36">
        <v>2721.7</v>
      </c>
      <c r="E21" s="6">
        <v>3345.78</v>
      </c>
      <c r="F21" s="6">
        <v>4500</v>
      </c>
      <c r="G21" s="6">
        <v>2500</v>
      </c>
    </row>
    <row r="22" spans="1:7" ht="15.75" x14ac:dyDescent="0.25">
      <c r="A22" s="3">
        <v>510400</v>
      </c>
      <c r="B22" s="4" t="s">
        <v>143</v>
      </c>
      <c r="C22" s="6">
        <v>159.96</v>
      </c>
      <c r="D22" s="36">
        <v>402.56</v>
      </c>
      <c r="E22" s="6">
        <v>474.37</v>
      </c>
      <c r="F22" s="6">
        <v>700</v>
      </c>
      <c r="G22" s="6">
        <v>600</v>
      </c>
    </row>
    <row r="23" spans="1:7" ht="15.75" x14ac:dyDescent="0.25">
      <c r="A23" s="3">
        <v>510450</v>
      </c>
      <c r="B23" s="4" t="s">
        <v>145</v>
      </c>
      <c r="C23" s="6">
        <v>12716.08</v>
      </c>
      <c r="D23" s="36">
        <v>14396.21</v>
      </c>
      <c r="E23" s="6">
        <v>12080.02</v>
      </c>
      <c r="F23" s="6">
        <v>16000</v>
      </c>
      <c r="G23" s="6">
        <v>13000</v>
      </c>
    </row>
    <row r="24" spans="1:7" ht="15.75" x14ac:dyDescent="0.25">
      <c r="A24" s="3">
        <v>510500</v>
      </c>
      <c r="B24" s="4" t="s">
        <v>170</v>
      </c>
      <c r="C24" s="6">
        <v>1141.46</v>
      </c>
      <c r="D24" s="36">
        <v>5864.29</v>
      </c>
      <c r="E24" s="6">
        <v>13365.38</v>
      </c>
      <c r="F24" s="6">
        <v>20000</v>
      </c>
      <c r="G24" s="6">
        <v>17000</v>
      </c>
    </row>
    <row r="25" spans="1:7" ht="15.75" x14ac:dyDescent="0.25">
      <c r="A25" s="3">
        <v>510550</v>
      </c>
      <c r="B25" s="4" t="s">
        <v>146</v>
      </c>
      <c r="C25" s="6">
        <v>15884.4</v>
      </c>
      <c r="D25" s="36">
        <v>18338.27</v>
      </c>
      <c r="E25" s="6">
        <v>16009.28</v>
      </c>
      <c r="F25" s="6">
        <f>28000-3673+3500</f>
        <v>27827</v>
      </c>
      <c r="G25" s="6">
        <v>31000</v>
      </c>
    </row>
    <row r="26" spans="1:7" ht="15.75" x14ac:dyDescent="0.25">
      <c r="A26" s="3">
        <v>510600</v>
      </c>
      <c r="B26" s="4" t="s">
        <v>147</v>
      </c>
      <c r="C26" s="6">
        <v>27295.24</v>
      </c>
      <c r="D26" s="36">
        <v>30531.65</v>
      </c>
      <c r="E26" s="6">
        <v>28979.93</v>
      </c>
      <c r="F26" s="6">
        <v>32000</v>
      </c>
      <c r="G26" s="6">
        <v>26000</v>
      </c>
    </row>
    <row r="27" spans="1:7" ht="15.75" x14ac:dyDescent="0.25">
      <c r="A27" s="3">
        <v>510625</v>
      </c>
      <c r="B27" s="4" t="s">
        <v>148</v>
      </c>
      <c r="C27" s="6"/>
      <c r="D27" s="36"/>
      <c r="E27" s="6">
        <v>26</v>
      </c>
      <c r="F27" s="6"/>
      <c r="G27" s="6"/>
    </row>
    <row r="28" spans="1:7" ht="15.75" x14ac:dyDescent="0.25">
      <c r="A28" s="3">
        <v>510650</v>
      </c>
      <c r="B28" s="4" t="s">
        <v>171</v>
      </c>
      <c r="C28" s="6">
        <v>806.66</v>
      </c>
      <c r="D28" s="36">
        <v>2017.16</v>
      </c>
      <c r="E28" s="6">
        <v>1299.76</v>
      </c>
      <c r="F28" s="6">
        <v>2000</v>
      </c>
      <c r="G28" s="6">
        <v>1000</v>
      </c>
    </row>
    <row r="29" spans="1:7" ht="15.75" x14ac:dyDescent="0.25">
      <c r="A29" s="3">
        <v>510700</v>
      </c>
      <c r="B29" s="4" t="s">
        <v>149</v>
      </c>
      <c r="C29" s="6">
        <v>4485.59</v>
      </c>
      <c r="D29" s="36">
        <v>4710.3599999999997</v>
      </c>
      <c r="E29" s="6">
        <v>3011.99</v>
      </c>
      <c r="F29" s="6">
        <v>0</v>
      </c>
      <c r="G29" s="6">
        <v>3000</v>
      </c>
    </row>
    <row r="30" spans="1:7" ht="15.75" x14ac:dyDescent="0.25">
      <c r="A30" s="3">
        <v>510750</v>
      </c>
      <c r="B30" s="4" t="s">
        <v>150</v>
      </c>
      <c r="C30" s="6">
        <v>26372.95</v>
      </c>
      <c r="D30" s="36">
        <v>23351.84</v>
      </c>
      <c r="E30" s="6">
        <v>32069.83</v>
      </c>
      <c r="F30" s="6">
        <v>25000</v>
      </c>
      <c r="G30" s="6">
        <v>25000</v>
      </c>
    </row>
    <row r="31" spans="1:7" ht="15.75" x14ac:dyDescent="0.25">
      <c r="A31" s="3">
        <v>510800</v>
      </c>
      <c r="B31" s="4" t="s">
        <v>151</v>
      </c>
      <c r="C31" s="6">
        <v>60909.83</v>
      </c>
      <c r="D31" s="36">
        <v>60922.66</v>
      </c>
      <c r="E31" s="6">
        <v>69230.39</v>
      </c>
      <c r="F31" s="6">
        <v>60000</v>
      </c>
      <c r="G31" s="6">
        <v>60000</v>
      </c>
    </row>
    <row r="32" spans="1:7" ht="15.75" x14ac:dyDescent="0.25">
      <c r="A32" s="3">
        <v>510850</v>
      </c>
      <c r="B32" s="4" t="s">
        <v>172</v>
      </c>
      <c r="C32" s="6">
        <v>0</v>
      </c>
      <c r="D32" s="36">
        <v>0</v>
      </c>
      <c r="E32" s="6">
        <v>0</v>
      </c>
      <c r="F32" s="6">
        <v>1000</v>
      </c>
      <c r="G32" s="6">
        <v>0</v>
      </c>
    </row>
    <row r="33" spans="1:8" ht="15.75" x14ac:dyDescent="0.25">
      <c r="A33" s="3">
        <v>510900</v>
      </c>
      <c r="B33" s="4" t="s">
        <v>152</v>
      </c>
      <c r="C33" s="6">
        <v>69649.210000000006</v>
      </c>
      <c r="D33" s="36">
        <v>80904.62</v>
      </c>
      <c r="E33" s="6">
        <f>52773.41+1</f>
        <v>52774.41</v>
      </c>
      <c r="F33" s="6">
        <v>70000</v>
      </c>
      <c r="G33" s="6">
        <v>70000</v>
      </c>
      <c r="H33" s="2" t="s">
        <v>383</v>
      </c>
    </row>
    <row r="34" spans="1:8" ht="15.75" x14ac:dyDescent="0.25">
      <c r="A34" s="3">
        <v>511000</v>
      </c>
      <c r="B34" s="4" t="s">
        <v>153</v>
      </c>
      <c r="C34" s="6">
        <v>1739.4</v>
      </c>
      <c r="D34" s="36">
        <v>7397.31</v>
      </c>
      <c r="E34" s="6">
        <v>4874.55</v>
      </c>
      <c r="F34" s="6">
        <v>5000</v>
      </c>
      <c r="G34" s="6">
        <v>6500</v>
      </c>
    </row>
    <row r="35" spans="1:8" ht="15.75" x14ac:dyDescent="0.25">
      <c r="A35" s="3">
        <v>511100</v>
      </c>
      <c r="B35" s="4" t="s">
        <v>155</v>
      </c>
      <c r="C35" s="6">
        <v>10592.94</v>
      </c>
      <c r="D35" s="36">
        <v>5396.01</v>
      </c>
      <c r="E35" s="6">
        <v>19421.41</v>
      </c>
      <c r="F35" s="6">
        <v>5500</v>
      </c>
      <c r="G35" s="6">
        <v>7500</v>
      </c>
    </row>
    <row r="36" spans="1:8" ht="15.75" x14ac:dyDescent="0.25">
      <c r="A36" s="3">
        <v>511150</v>
      </c>
      <c r="B36" s="4" t="s">
        <v>156</v>
      </c>
      <c r="C36" s="6">
        <v>1069.44</v>
      </c>
      <c r="D36" s="36">
        <v>1114.1199999999999</v>
      </c>
      <c r="E36" s="6">
        <v>1382.1</v>
      </c>
      <c r="F36" s="6">
        <v>1500</v>
      </c>
      <c r="G36" s="6">
        <v>1500</v>
      </c>
    </row>
    <row r="37" spans="1:8" ht="15.75" x14ac:dyDescent="0.25">
      <c r="A37" s="3">
        <v>511200</v>
      </c>
      <c r="B37" s="4" t="s">
        <v>157</v>
      </c>
      <c r="C37" s="6">
        <v>41191.31</v>
      </c>
      <c r="D37" s="36">
        <v>41243.480000000003</v>
      </c>
      <c r="E37" s="6">
        <v>37292.199999999997</v>
      </c>
      <c r="F37" s="6">
        <v>0</v>
      </c>
      <c r="G37" s="6">
        <v>0</v>
      </c>
    </row>
    <row r="38" spans="1:8" ht="15.75" x14ac:dyDescent="0.25">
      <c r="A38" s="3">
        <v>511250</v>
      </c>
      <c r="B38" s="4" t="s">
        <v>158</v>
      </c>
      <c r="C38" s="6">
        <v>546.37</v>
      </c>
      <c r="D38" s="36">
        <v>635.27</v>
      </c>
      <c r="E38" s="6">
        <v>720.14</v>
      </c>
      <c r="F38" s="6">
        <v>0</v>
      </c>
      <c r="G38" s="6">
        <v>0</v>
      </c>
    </row>
    <row r="39" spans="1:8" ht="15.75" x14ac:dyDescent="0.25">
      <c r="A39" s="3">
        <v>511300</v>
      </c>
      <c r="B39" s="4" t="s">
        <v>159</v>
      </c>
      <c r="C39" s="6">
        <v>579.84</v>
      </c>
      <c r="D39" s="36">
        <v>672.26</v>
      </c>
      <c r="E39" s="6">
        <v>776.74</v>
      </c>
      <c r="F39" s="6">
        <v>0</v>
      </c>
      <c r="G39" s="6">
        <v>0</v>
      </c>
    </row>
    <row r="40" spans="1:8" ht="15.75" x14ac:dyDescent="0.25">
      <c r="A40" s="3">
        <v>511350</v>
      </c>
      <c r="B40" s="4" t="s">
        <v>160</v>
      </c>
      <c r="C40" s="6">
        <v>1109.0899999999999</v>
      </c>
      <c r="D40" s="36">
        <v>1121.28</v>
      </c>
      <c r="E40" s="6">
        <v>1125.28</v>
      </c>
      <c r="F40" s="6">
        <v>0</v>
      </c>
      <c r="G40" s="6">
        <v>0</v>
      </c>
    </row>
    <row r="41" spans="1:8" ht="15.75" x14ac:dyDescent="0.25">
      <c r="A41" s="3">
        <v>519000</v>
      </c>
      <c r="B41" s="4" t="s">
        <v>125</v>
      </c>
      <c r="C41" s="6">
        <v>6788.85</v>
      </c>
      <c r="D41" s="36">
        <v>9941.0499999999993</v>
      </c>
      <c r="E41" s="6">
        <v>8567.52</v>
      </c>
      <c r="F41" s="6">
        <v>5000</v>
      </c>
      <c r="G41" s="6">
        <v>7500</v>
      </c>
    </row>
    <row r="42" spans="1:8" ht="15.75" x14ac:dyDescent="0.25">
      <c r="A42" s="3">
        <v>531000</v>
      </c>
      <c r="B42" s="4" t="s">
        <v>173</v>
      </c>
      <c r="C42" s="6">
        <v>7886</v>
      </c>
      <c r="D42" s="36">
        <v>9122</v>
      </c>
      <c r="E42" s="6">
        <v>9122</v>
      </c>
      <c r="F42" s="6">
        <v>8000</v>
      </c>
      <c r="G42" s="6">
        <v>8500</v>
      </c>
    </row>
    <row r="43" spans="1:8" ht="15.75" x14ac:dyDescent="0.25">
      <c r="A43" s="3">
        <v>531025</v>
      </c>
      <c r="B43" s="4" t="s">
        <v>174</v>
      </c>
      <c r="C43" s="6">
        <v>14451</v>
      </c>
      <c r="D43" s="36">
        <v>12954.96</v>
      </c>
      <c r="E43" s="6">
        <v>13280</v>
      </c>
      <c r="F43" s="6">
        <v>14800</v>
      </c>
      <c r="G43" s="6">
        <v>25000</v>
      </c>
    </row>
    <row r="44" spans="1:8" ht="15.75" x14ac:dyDescent="0.25">
      <c r="A44" s="3">
        <v>531050</v>
      </c>
      <c r="B44" s="4" t="s">
        <v>175</v>
      </c>
      <c r="C44" s="6">
        <v>2160.52</v>
      </c>
      <c r="D44" s="36">
        <v>2624.99</v>
      </c>
      <c r="E44" s="6">
        <v>1692.21</v>
      </c>
      <c r="F44" s="6">
        <v>5000</v>
      </c>
      <c r="G44" s="6">
        <v>3000</v>
      </c>
    </row>
    <row r="45" spans="1:8" ht="15.75" x14ac:dyDescent="0.25">
      <c r="A45" s="3">
        <v>531100</v>
      </c>
      <c r="B45" s="4" t="s">
        <v>176</v>
      </c>
      <c r="C45" s="6">
        <v>452.17</v>
      </c>
      <c r="D45" s="36">
        <v>550.76</v>
      </c>
      <c r="E45" s="6">
        <v>2067.39</v>
      </c>
      <c r="F45" s="6">
        <v>1000</v>
      </c>
      <c r="G45" s="6">
        <v>750</v>
      </c>
    </row>
    <row r="46" spans="1:8" ht="15.75" x14ac:dyDescent="0.25">
      <c r="A46" s="3"/>
      <c r="B46" s="4" t="s">
        <v>351</v>
      </c>
      <c r="C46" s="6">
        <v>0</v>
      </c>
      <c r="D46" s="36">
        <v>0</v>
      </c>
      <c r="E46" s="6">
        <v>0</v>
      </c>
      <c r="F46" s="6">
        <v>0</v>
      </c>
      <c r="G46" s="6">
        <v>5000</v>
      </c>
    </row>
    <row r="47" spans="1:8" ht="15.75" x14ac:dyDescent="0.25">
      <c r="A47" s="3">
        <v>531150</v>
      </c>
      <c r="B47" s="4" t="s">
        <v>162</v>
      </c>
      <c r="C47" s="6">
        <v>3900</v>
      </c>
      <c r="D47" s="36">
        <v>2250</v>
      </c>
      <c r="E47" s="6">
        <v>0</v>
      </c>
      <c r="F47" s="6">
        <v>0</v>
      </c>
      <c r="G47" s="6">
        <v>0</v>
      </c>
    </row>
    <row r="48" spans="1:8" ht="15.75" x14ac:dyDescent="0.25">
      <c r="A48" s="3">
        <v>531200</v>
      </c>
      <c r="B48" s="4" t="s">
        <v>177</v>
      </c>
      <c r="C48" s="6">
        <v>7000</v>
      </c>
      <c r="D48" s="36">
        <v>7000</v>
      </c>
      <c r="E48" s="6">
        <v>7000</v>
      </c>
      <c r="F48" s="6">
        <v>7000</v>
      </c>
      <c r="G48" s="6">
        <v>7000</v>
      </c>
    </row>
    <row r="49" spans="1:8" ht="15.75" x14ac:dyDescent="0.25">
      <c r="A49" s="3">
        <v>531300</v>
      </c>
      <c r="B49" s="4" t="s">
        <v>178</v>
      </c>
      <c r="C49" s="6">
        <v>546</v>
      </c>
      <c r="D49" s="36">
        <v>39</v>
      </c>
      <c r="E49" s="6">
        <v>351</v>
      </c>
      <c r="F49" s="6">
        <v>300</v>
      </c>
      <c r="G49" s="6">
        <v>300</v>
      </c>
    </row>
    <row r="50" spans="1:8" ht="16.5" thickBot="1" x14ac:dyDescent="0.3">
      <c r="A50" s="3">
        <v>531350</v>
      </c>
      <c r="B50" s="4" t="s">
        <v>179</v>
      </c>
      <c r="C50" s="6">
        <v>13902.65</v>
      </c>
      <c r="D50" s="36">
        <v>14797.03</v>
      </c>
      <c r="E50" s="6">
        <v>10205</v>
      </c>
      <c r="F50" s="6">
        <v>15000</v>
      </c>
      <c r="G50" s="6">
        <v>12000</v>
      </c>
    </row>
    <row r="51" spans="1:8" ht="16.5" thickBot="1" x14ac:dyDescent="0.3">
      <c r="A51" s="7" t="s">
        <v>11</v>
      </c>
      <c r="B51" s="8"/>
      <c r="C51" s="30">
        <f>SUM(C17:C50)</f>
        <v>350730.56000000011</v>
      </c>
      <c r="D51" s="30">
        <v>380524.68000000005</v>
      </c>
      <c r="E51" s="30">
        <f>SUM(E17:E50)</f>
        <v>371328.24000000011</v>
      </c>
      <c r="F51" s="30">
        <f>SUM(F17:F50)</f>
        <v>354827</v>
      </c>
      <c r="G51" s="30">
        <f>SUM(G17:G50)</f>
        <v>362150</v>
      </c>
    </row>
    <row r="52" spans="1:8" ht="15.75" thickBot="1" x14ac:dyDescent="0.25"/>
    <row r="53" spans="1:8" ht="16.5" thickBot="1" x14ac:dyDescent="0.3">
      <c r="A53" s="9" t="s">
        <v>48</v>
      </c>
      <c r="B53" s="10"/>
      <c r="C53" s="10"/>
      <c r="D53" s="10"/>
      <c r="E53" s="10"/>
      <c r="F53" s="10"/>
      <c r="G53" s="10"/>
    </row>
    <row r="54" spans="1:8" ht="15" customHeight="1" x14ac:dyDescent="0.2">
      <c r="A54" s="150"/>
      <c r="B54" s="152" t="s">
        <v>12</v>
      </c>
      <c r="C54" s="154" t="s">
        <v>6</v>
      </c>
      <c r="D54" s="154" t="s">
        <v>5</v>
      </c>
      <c r="E54" s="154" t="s">
        <v>350</v>
      </c>
      <c r="F54" s="154" t="s">
        <v>349</v>
      </c>
      <c r="G54" s="154" t="s">
        <v>348</v>
      </c>
    </row>
    <row r="55" spans="1:8" ht="43.5" customHeight="1" thickBot="1" x14ac:dyDescent="0.25">
      <c r="A55" s="151"/>
      <c r="B55" s="153"/>
      <c r="C55" s="155"/>
      <c r="D55" s="155"/>
      <c r="E55" s="155"/>
      <c r="F55" s="155"/>
      <c r="G55" s="155"/>
    </row>
    <row r="56" spans="1:8" ht="15.75" x14ac:dyDescent="0.25">
      <c r="A56" s="3"/>
      <c r="B56" s="4" t="s">
        <v>13</v>
      </c>
      <c r="C56" s="36">
        <f>C13</f>
        <v>1613487.8199999998</v>
      </c>
      <c r="D56" s="36">
        <v>1659553.37</v>
      </c>
      <c r="E56" s="36">
        <f>E13</f>
        <v>1646392</v>
      </c>
      <c r="F56" s="36">
        <f>F13</f>
        <v>1780633</v>
      </c>
      <c r="G56" s="36">
        <f>G13</f>
        <v>1891705.2813983609</v>
      </c>
    </row>
    <row r="57" spans="1:8" ht="15.75" x14ac:dyDescent="0.25">
      <c r="A57" s="3"/>
      <c r="B57" s="4" t="s">
        <v>14</v>
      </c>
      <c r="C57" s="6">
        <f>C51</f>
        <v>350730.56000000011</v>
      </c>
      <c r="D57" s="6">
        <v>380524.68000000005</v>
      </c>
      <c r="E57" s="6">
        <f>E51</f>
        <v>371328.24000000011</v>
      </c>
      <c r="F57" s="6">
        <f>F51</f>
        <v>354827</v>
      </c>
      <c r="G57" s="6">
        <f>G51</f>
        <v>362150</v>
      </c>
    </row>
    <row r="58" spans="1:8" ht="16.5" thickBot="1" x14ac:dyDescent="0.3">
      <c r="A58" s="3"/>
      <c r="B58" s="4" t="s">
        <v>15</v>
      </c>
      <c r="C58" s="6">
        <v>74823.600000000006</v>
      </c>
      <c r="D58" s="6">
        <v>0</v>
      </c>
      <c r="E58" s="6">
        <v>507264</v>
      </c>
      <c r="F58" s="6">
        <v>0</v>
      </c>
      <c r="G58" s="6">
        <v>110000</v>
      </c>
      <c r="H58" s="2" t="s">
        <v>409</v>
      </c>
    </row>
    <row r="59" spans="1:8" ht="15.75" x14ac:dyDescent="0.25">
      <c r="A59" s="11" t="s">
        <v>16</v>
      </c>
      <c r="B59" s="12"/>
      <c r="C59" s="31">
        <f>SUM(C56:C58)</f>
        <v>2039041.98</v>
      </c>
      <c r="D59" s="31">
        <v>2040078.0500000003</v>
      </c>
      <c r="E59" s="31">
        <f>SUM(E56:E58)</f>
        <v>2524984.2400000002</v>
      </c>
      <c r="F59" s="31">
        <f>SUM(F56:F58)</f>
        <v>2135460</v>
      </c>
      <c r="G59" s="31">
        <f>SUM(G56:G58)</f>
        <v>2363855.2813983606</v>
      </c>
    </row>
  </sheetData>
  <mergeCells count="9">
    <mergeCell ref="A1:G1"/>
    <mergeCell ref="G54:G55"/>
    <mergeCell ref="A2:F2"/>
    <mergeCell ref="A54:A55"/>
    <mergeCell ref="B54:B55"/>
    <mergeCell ref="C54:C55"/>
    <mergeCell ref="D54:D55"/>
    <mergeCell ref="E54:E55"/>
    <mergeCell ref="F54:F55"/>
  </mergeCells>
  <pageMargins left="0.45" right="0.45" top="0.75" bottom="0.75" header="0.3" footer="0.3"/>
  <pageSetup scale="61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6D0F0-9531-47E9-8A1D-3383255F3788}">
  <sheetPr>
    <pageSetUpPr fitToPage="1"/>
  </sheetPr>
  <dimension ref="A1:K23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10" width="9.140625" style="2"/>
    <col min="11" max="11" width="9.85546875" style="2" bestFit="1" customWidth="1"/>
    <col min="12" max="16384" width="9.140625" style="2"/>
  </cols>
  <sheetData>
    <row r="1" spans="1:11" ht="34.5" x14ac:dyDescent="0.45">
      <c r="A1" s="144" t="s">
        <v>374</v>
      </c>
      <c r="B1" s="144"/>
      <c r="C1" s="144"/>
      <c r="D1" s="144"/>
      <c r="E1" s="144"/>
      <c r="F1" s="144"/>
      <c r="G1" s="144"/>
    </row>
    <row r="2" spans="1:11" x14ac:dyDescent="0.2">
      <c r="A2" s="145"/>
      <c r="B2" s="145"/>
      <c r="C2" s="145"/>
      <c r="D2" s="145"/>
      <c r="E2" s="145"/>
      <c r="F2" s="145"/>
    </row>
    <row r="3" spans="1:11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11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11" ht="15.75" x14ac:dyDescent="0.25">
      <c r="A5" s="3"/>
      <c r="B5" s="4"/>
      <c r="C5" s="36"/>
      <c r="D5" s="36"/>
      <c r="E5" s="36"/>
      <c r="F5" s="36"/>
      <c r="G5" s="36"/>
    </row>
    <row r="6" spans="1:11" ht="15.75" x14ac:dyDescent="0.25">
      <c r="A6" s="3"/>
      <c r="B6" s="4"/>
      <c r="C6" s="6"/>
      <c r="D6" s="6"/>
      <c r="E6" s="6"/>
      <c r="F6" s="6"/>
      <c r="G6" s="36"/>
    </row>
    <row r="7" spans="1:11" ht="16.5" thickBot="1" x14ac:dyDescent="0.3">
      <c r="A7" s="3"/>
      <c r="B7" s="4"/>
      <c r="C7" s="6"/>
      <c r="D7" s="6"/>
      <c r="E7" s="6"/>
      <c r="F7" s="6"/>
      <c r="G7" s="36"/>
    </row>
    <row r="8" spans="1:11" ht="16.5" thickBot="1" x14ac:dyDescent="0.3">
      <c r="A8" s="7" t="s">
        <v>10</v>
      </c>
      <c r="B8" s="8"/>
      <c r="C8" s="30">
        <f>SUM(C5:C7)</f>
        <v>0</v>
      </c>
      <c r="D8" s="30">
        <f>SUM(D5:D7)</f>
        <v>0</v>
      </c>
      <c r="E8" s="30">
        <f>SUM(E5:E7)</f>
        <v>0</v>
      </c>
      <c r="F8" s="30">
        <f>SUM(F5:F7)</f>
        <v>0</v>
      </c>
      <c r="G8" s="30">
        <f>SUM(G5:G7)</f>
        <v>0</v>
      </c>
      <c r="K8" s="2" t="s">
        <v>215</v>
      </c>
    </row>
    <row r="10" spans="1:11" ht="15.75" thickBot="1" x14ac:dyDescent="0.25">
      <c r="A10" s="1" t="s">
        <v>8</v>
      </c>
      <c r="B10" s="1"/>
      <c r="C10" s="1"/>
      <c r="D10" s="1"/>
      <c r="E10" s="1"/>
      <c r="F10" s="1"/>
      <c r="G10" s="1"/>
    </row>
    <row r="11" spans="1:11" ht="56.25" x14ac:dyDescent="0.2">
      <c r="A11" s="5" t="s">
        <v>1</v>
      </c>
      <c r="B11" s="5" t="s">
        <v>2</v>
      </c>
      <c r="C11" s="77" t="s">
        <v>6</v>
      </c>
      <c r="D11" s="77" t="s">
        <v>5</v>
      </c>
      <c r="E11" s="77" t="s">
        <v>350</v>
      </c>
      <c r="F11" s="77" t="s">
        <v>349</v>
      </c>
      <c r="G11" s="77" t="s">
        <v>348</v>
      </c>
    </row>
    <row r="12" spans="1:11" ht="15.75" x14ac:dyDescent="0.25">
      <c r="A12" s="3">
        <v>524150</v>
      </c>
      <c r="B12" s="4" t="s">
        <v>223</v>
      </c>
      <c r="C12" s="36">
        <v>9064</v>
      </c>
      <c r="D12" s="36">
        <v>300</v>
      </c>
      <c r="E12" s="36">
        <v>5043</v>
      </c>
      <c r="F12" s="36"/>
      <c r="G12" s="36"/>
    </row>
    <row r="13" spans="1:11" ht="15.75" x14ac:dyDescent="0.25">
      <c r="A13" s="3">
        <v>524200</v>
      </c>
      <c r="B13" s="4" t="s">
        <v>375</v>
      </c>
      <c r="C13" s="6">
        <v>9877</v>
      </c>
      <c r="D13" s="36">
        <v>13807</v>
      </c>
      <c r="E13" s="6">
        <v>15883</v>
      </c>
      <c r="F13" s="6"/>
      <c r="G13" s="6"/>
    </row>
    <row r="14" spans="1:11" ht="16.5" thickBot="1" x14ac:dyDescent="0.3">
      <c r="A14" s="3">
        <v>524250</v>
      </c>
      <c r="B14" s="4" t="s">
        <v>225</v>
      </c>
      <c r="C14" s="6">
        <v>79935</v>
      </c>
      <c r="D14" s="36">
        <v>55336</v>
      </c>
      <c r="E14" s="6">
        <v>91795</v>
      </c>
      <c r="F14" s="6"/>
      <c r="G14" s="6">
        <v>17849</v>
      </c>
      <c r="H14" s="2" t="s">
        <v>396</v>
      </c>
    </row>
    <row r="15" spans="1:11" ht="16.5" thickBot="1" x14ac:dyDescent="0.3">
      <c r="A15" s="7" t="s">
        <v>11</v>
      </c>
      <c r="B15" s="8"/>
      <c r="C15" s="30">
        <f>SUM(C12:C14)</f>
        <v>98876</v>
      </c>
      <c r="D15" s="30">
        <f>SUM(D12:D14)</f>
        <v>69443</v>
      </c>
      <c r="E15" s="30">
        <f>SUM(E12:E14)</f>
        <v>112721</v>
      </c>
      <c r="F15" s="30">
        <f>SUM(F12:F14)</f>
        <v>0</v>
      </c>
      <c r="G15" s="30">
        <f>SUM(G12:G14)</f>
        <v>17849</v>
      </c>
    </row>
    <row r="16" spans="1:11" ht="15.75" thickBot="1" x14ac:dyDescent="0.25"/>
    <row r="17" spans="1:7" ht="16.5" thickBot="1" x14ac:dyDescent="0.3">
      <c r="A17" s="9" t="s">
        <v>48</v>
      </c>
      <c r="B17" s="10"/>
      <c r="C17" s="10"/>
      <c r="D17" s="10"/>
      <c r="E17" s="10"/>
      <c r="F17" s="10"/>
      <c r="G17" s="10"/>
    </row>
    <row r="18" spans="1:7" ht="15" customHeight="1" x14ac:dyDescent="0.2">
      <c r="A18" s="150"/>
      <c r="B18" s="152" t="s">
        <v>12</v>
      </c>
      <c r="C18" s="154" t="s">
        <v>6</v>
      </c>
      <c r="D18" s="154" t="s">
        <v>5</v>
      </c>
      <c r="E18" s="154" t="s">
        <v>350</v>
      </c>
      <c r="F18" s="154" t="s">
        <v>349</v>
      </c>
      <c r="G18" s="154" t="s">
        <v>348</v>
      </c>
    </row>
    <row r="19" spans="1:7" ht="43.5" customHeight="1" thickBot="1" x14ac:dyDescent="0.25">
      <c r="A19" s="151"/>
      <c r="B19" s="153"/>
      <c r="C19" s="155"/>
      <c r="D19" s="155"/>
      <c r="E19" s="155"/>
      <c r="F19" s="155"/>
      <c r="G19" s="155"/>
    </row>
    <row r="20" spans="1:7" ht="15.75" x14ac:dyDescent="0.25">
      <c r="A20" s="3"/>
      <c r="B20" s="4" t="s">
        <v>13</v>
      </c>
      <c r="C20" s="36">
        <f>C8</f>
        <v>0</v>
      </c>
      <c r="D20" s="36">
        <f>D8</f>
        <v>0</v>
      </c>
      <c r="E20" s="36">
        <f>E8</f>
        <v>0</v>
      </c>
      <c r="F20" s="36">
        <f>F8</f>
        <v>0</v>
      </c>
      <c r="G20" s="36">
        <f>G8</f>
        <v>0</v>
      </c>
    </row>
    <row r="21" spans="1:7" ht="15.75" x14ac:dyDescent="0.25">
      <c r="A21" s="3"/>
      <c r="B21" s="4" t="s">
        <v>14</v>
      </c>
      <c r="C21" s="6">
        <f>C15</f>
        <v>98876</v>
      </c>
      <c r="D21" s="6">
        <f>D15</f>
        <v>69443</v>
      </c>
      <c r="E21" s="6">
        <f>E15</f>
        <v>112721</v>
      </c>
      <c r="F21" s="6">
        <f>F15</f>
        <v>0</v>
      </c>
      <c r="G21" s="6">
        <f>G15</f>
        <v>17849</v>
      </c>
    </row>
    <row r="22" spans="1:7" ht="16.5" thickBot="1" x14ac:dyDescent="0.3">
      <c r="A22" s="3"/>
      <c r="B22" s="4" t="s">
        <v>15</v>
      </c>
      <c r="C22" s="6"/>
      <c r="D22" s="6"/>
      <c r="E22" s="6"/>
      <c r="F22" s="6"/>
      <c r="G22" s="6"/>
    </row>
    <row r="23" spans="1:7" ht="15.75" x14ac:dyDescent="0.25">
      <c r="A23" s="11" t="s">
        <v>16</v>
      </c>
      <c r="B23" s="12"/>
      <c r="C23" s="31">
        <f>SUM(C20:C22)</f>
        <v>98876</v>
      </c>
      <c r="D23" s="31">
        <f>SUM(D20:D22)</f>
        <v>69443</v>
      </c>
      <c r="E23" s="31">
        <f>SUM(E20:E22)</f>
        <v>112721</v>
      </c>
      <c r="F23" s="31">
        <f>SUM(F20:F22)</f>
        <v>0</v>
      </c>
      <c r="G23" s="31">
        <f>SUM(G20:G22)</f>
        <v>17849</v>
      </c>
    </row>
  </sheetData>
  <mergeCells count="9">
    <mergeCell ref="A1:G1"/>
    <mergeCell ref="A2:F2"/>
    <mergeCell ref="A18:A19"/>
    <mergeCell ref="B18:B19"/>
    <mergeCell ref="C18:C19"/>
    <mergeCell ref="D18:D19"/>
    <mergeCell ref="E18:E19"/>
    <mergeCell ref="F18:F19"/>
    <mergeCell ref="G18:G19"/>
  </mergeCells>
  <pageMargins left="0.45" right="0.45" top="0.75" bottom="0.75" header="0.3" footer="0.3"/>
  <pageSetup scale="61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34FE-57AC-4447-919A-C3BA0FA812E1}">
  <sheetPr>
    <pageSetUpPr fitToPage="1"/>
  </sheetPr>
  <dimension ref="A1:K24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10" width="9.140625" style="2"/>
    <col min="11" max="11" width="9.85546875" style="2" bestFit="1" customWidth="1"/>
    <col min="12" max="16384" width="9.140625" style="2"/>
  </cols>
  <sheetData>
    <row r="1" spans="1:11" ht="34.5" x14ac:dyDescent="0.45">
      <c r="A1" s="144" t="s">
        <v>376</v>
      </c>
      <c r="B1" s="144"/>
      <c r="C1" s="144"/>
      <c r="D1" s="144"/>
      <c r="E1" s="144"/>
      <c r="F1" s="144"/>
      <c r="G1" s="144"/>
    </row>
    <row r="2" spans="1:11" x14ac:dyDescent="0.2">
      <c r="A2" s="145"/>
      <c r="B2" s="145"/>
      <c r="C2" s="145"/>
      <c r="D2" s="145"/>
      <c r="E2" s="145"/>
      <c r="F2" s="145"/>
    </row>
    <row r="3" spans="1:11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11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11" ht="15.75" x14ac:dyDescent="0.25">
      <c r="A5" s="3"/>
      <c r="B5" s="4"/>
      <c r="C5" s="36"/>
      <c r="D5" s="36"/>
      <c r="E5" s="36"/>
      <c r="F5" s="36"/>
      <c r="G5" s="36"/>
    </row>
    <row r="6" spans="1:11" ht="15.75" x14ac:dyDescent="0.25">
      <c r="A6" s="3"/>
      <c r="B6" s="4"/>
      <c r="C6" s="6"/>
      <c r="D6" s="6"/>
      <c r="E6" s="6"/>
      <c r="F6" s="6"/>
      <c r="G6" s="36"/>
    </row>
    <row r="7" spans="1:11" ht="16.5" thickBot="1" x14ac:dyDescent="0.3">
      <c r="A7" s="3"/>
      <c r="B7" s="4"/>
      <c r="C7" s="6"/>
      <c r="D7" s="6"/>
      <c r="E7" s="6"/>
      <c r="F7" s="6"/>
      <c r="G7" s="36"/>
    </row>
    <row r="8" spans="1:11" ht="16.5" thickBot="1" x14ac:dyDescent="0.3">
      <c r="A8" s="7" t="s">
        <v>10</v>
      </c>
      <c r="B8" s="8"/>
      <c r="C8" s="30">
        <f>SUM(C5:C7)</f>
        <v>0</v>
      </c>
      <c r="D8" s="30">
        <f>SUM(D5:D7)</f>
        <v>0</v>
      </c>
      <c r="E8" s="30">
        <f>SUM(E5:E7)</f>
        <v>0</v>
      </c>
      <c r="F8" s="30">
        <f>SUM(F5:F7)</f>
        <v>0</v>
      </c>
      <c r="G8" s="30">
        <f>SUM(G5:G7)</f>
        <v>0</v>
      </c>
      <c r="K8" s="2" t="s">
        <v>215</v>
      </c>
    </row>
    <row r="10" spans="1:11" ht="15.75" thickBot="1" x14ac:dyDescent="0.25">
      <c r="A10" s="1" t="s">
        <v>8</v>
      </c>
      <c r="B10" s="1"/>
      <c r="C10" s="1"/>
      <c r="D10" s="1"/>
      <c r="E10" s="1"/>
      <c r="F10" s="1"/>
      <c r="G10" s="1"/>
    </row>
    <row r="11" spans="1:11" ht="56.25" x14ac:dyDescent="0.2">
      <c r="A11" s="5" t="s">
        <v>1</v>
      </c>
      <c r="B11" s="5" t="s">
        <v>2</v>
      </c>
      <c r="C11" s="77" t="s">
        <v>6</v>
      </c>
      <c r="D11" s="77" t="s">
        <v>5</v>
      </c>
      <c r="E11" s="77" t="s">
        <v>350</v>
      </c>
      <c r="F11" s="77" t="s">
        <v>349</v>
      </c>
      <c r="G11" s="77" t="s">
        <v>348</v>
      </c>
    </row>
    <row r="12" spans="1:11" ht="15.75" x14ac:dyDescent="0.25">
      <c r="A12" s="3">
        <v>511100</v>
      </c>
      <c r="B12" s="4" t="s">
        <v>155</v>
      </c>
      <c r="C12" s="36">
        <v>0</v>
      </c>
      <c r="D12" s="36"/>
      <c r="E12" s="36">
        <v>815</v>
      </c>
      <c r="F12" s="36"/>
      <c r="G12" s="36"/>
    </row>
    <row r="13" spans="1:11" ht="15.75" x14ac:dyDescent="0.25">
      <c r="A13" s="3">
        <v>535320</v>
      </c>
      <c r="B13" s="4" t="s">
        <v>377</v>
      </c>
      <c r="C13" s="6">
        <v>0</v>
      </c>
      <c r="D13" s="36"/>
      <c r="E13" s="6">
        <v>3147</v>
      </c>
      <c r="F13" s="6"/>
      <c r="G13" s="6"/>
    </row>
    <row r="14" spans="1:11" ht="15.75" x14ac:dyDescent="0.25">
      <c r="A14" s="3">
        <v>535340</v>
      </c>
      <c r="B14" s="4" t="s">
        <v>378</v>
      </c>
      <c r="C14" s="6">
        <v>0</v>
      </c>
      <c r="D14" s="36">
        <v>10506</v>
      </c>
      <c r="E14" s="6"/>
      <c r="F14" s="6"/>
      <c r="G14" s="6"/>
    </row>
    <row r="15" spans="1:11" ht="16.5" thickBot="1" x14ac:dyDescent="0.3">
      <c r="A15" s="3">
        <v>535350</v>
      </c>
      <c r="B15" s="4" t="s">
        <v>379</v>
      </c>
      <c r="C15" s="6">
        <v>0</v>
      </c>
      <c r="D15" s="36">
        <v>7422</v>
      </c>
      <c r="E15" s="6"/>
      <c r="F15" s="6"/>
      <c r="G15" s="6"/>
    </row>
    <row r="16" spans="1:11" ht="16.5" thickBot="1" x14ac:dyDescent="0.3">
      <c r="A16" s="7" t="s">
        <v>11</v>
      </c>
      <c r="B16" s="8"/>
      <c r="C16" s="30">
        <f>SUM(C12:C15)</f>
        <v>0</v>
      </c>
      <c r="D16" s="30">
        <f>SUM(D12:D15)</f>
        <v>17928</v>
      </c>
      <c r="E16" s="30">
        <f>SUM(E12:E15)</f>
        <v>3962</v>
      </c>
      <c r="F16" s="30">
        <f>SUM(F12:F15)</f>
        <v>0</v>
      </c>
      <c r="G16" s="30">
        <f>SUM(G12:G15)</f>
        <v>0</v>
      </c>
    </row>
    <row r="17" spans="1:7" ht="15.75" thickBot="1" x14ac:dyDescent="0.25"/>
    <row r="18" spans="1:7" ht="16.5" thickBot="1" x14ac:dyDescent="0.3">
      <c r="A18" s="9" t="s">
        <v>48</v>
      </c>
      <c r="B18" s="10"/>
      <c r="C18" s="10"/>
      <c r="D18" s="10"/>
      <c r="E18" s="10"/>
      <c r="F18" s="10"/>
      <c r="G18" s="10"/>
    </row>
    <row r="19" spans="1:7" ht="15" customHeight="1" x14ac:dyDescent="0.2">
      <c r="A19" s="150"/>
      <c r="B19" s="152" t="s">
        <v>12</v>
      </c>
      <c r="C19" s="154" t="s">
        <v>6</v>
      </c>
      <c r="D19" s="154" t="s">
        <v>5</v>
      </c>
      <c r="E19" s="154" t="s">
        <v>350</v>
      </c>
      <c r="F19" s="154" t="s">
        <v>349</v>
      </c>
      <c r="G19" s="154" t="s">
        <v>348</v>
      </c>
    </row>
    <row r="20" spans="1:7" ht="43.5" customHeight="1" thickBot="1" x14ac:dyDescent="0.25">
      <c r="A20" s="151"/>
      <c r="B20" s="153"/>
      <c r="C20" s="155"/>
      <c r="D20" s="155"/>
      <c r="E20" s="155"/>
      <c r="F20" s="155"/>
      <c r="G20" s="155"/>
    </row>
    <row r="21" spans="1:7" ht="15.75" x14ac:dyDescent="0.25">
      <c r="A21" s="3"/>
      <c r="B21" s="4" t="s">
        <v>13</v>
      </c>
      <c r="C21" s="36">
        <f>C8</f>
        <v>0</v>
      </c>
      <c r="D21" s="36">
        <f>D8</f>
        <v>0</v>
      </c>
      <c r="E21" s="36">
        <f>E8</f>
        <v>0</v>
      </c>
      <c r="F21" s="36">
        <f>F8</f>
        <v>0</v>
      </c>
      <c r="G21" s="36">
        <f>G8</f>
        <v>0</v>
      </c>
    </row>
    <row r="22" spans="1:7" ht="15.75" x14ac:dyDescent="0.25">
      <c r="A22" s="3"/>
      <c r="B22" s="4" t="s">
        <v>14</v>
      </c>
      <c r="C22" s="6">
        <f>C16</f>
        <v>0</v>
      </c>
      <c r="D22" s="6">
        <f>D16</f>
        <v>17928</v>
      </c>
      <c r="E22" s="6">
        <f>E16</f>
        <v>3962</v>
      </c>
      <c r="F22" s="6">
        <f>F16</f>
        <v>0</v>
      </c>
      <c r="G22" s="6">
        <f>G16</f>
        <v>0</v>
      </c>
    </row>
    <row r="23" spans="1:7" ht="16.5" thickBot="1" x14ac:dyDescent="0.3">
      <c r="A23" s="3"/>
      <c r="B23" s="4" t="s">
        <v>15</v>
      </c>
      <c r="C23" s="6"/>
      <c r="D23" s="6"/>
      <c r="E23" s="6"/>
      <c r="F23" s="6"/>
      <c r="G23" s="6"/>
    </row>
    <row r="24" spans="1:7" ht="15.75" x14ac:dyDescent="0.25">
      <c r="A24" s="11" t="s">
        <v>16</v>
      </c>
      <c r="B24" s="12"/>
      <c r="C24" s="31">
        <f>SUM(C21:C23)</f>
        <v>0</v>
      </c>
      <c r="D24" s="31">
        <f>SUM(D21:D23)</f>
        <v>17928</v>
      </c>
      <c r="E24" s="31">
        <f>SUM(E21:E23)</f>
        <v>3962</v>
      </c>
      <c r="F24" s="31">
        <f>SUM(F21:F23)</f>
        <v>0</v>
      </c>
      <c r="G24" s="31">
        <f>SUM(G21:G23)</f>
        <v>0</v>
      </c>
    </row>
  </sheetData>
  <mergeCells count="9">
    <mergeCell ref="A1:G1"/>
    <mergeCell ref="A2:F2"/>
    <mergeCell ref="A19:A20"/>
    <mergeCell ref="B19:B20"/>
    <mergeCell ref="C19:C20"/>
    <mergeCell ref="D19:D20"/>
    <mergeCell ref="E19:E20"/>
    <mergeCell ref="F19:F20"/>
    <mergeCell ref="G19:G20"/>
  </mergeCells>
  <pageMargins left="0.45" right="0.45" top="0.75" bottom="0.75" header="0.3" footer="0.3"/>
  <pageSetup scale="61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8B41-F979-4884-B2D0-1ABAC2CEDFA2}">
  <sheetPr>
    <pageSetUpPr fitToPage="1"/>
  </sheetPr>
  <dimension ref="A1:G34"/>
  <sheetViews>
    <sheetView showGridLines="0" topLeftCell="A5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16384" width="9.140625" style="2"/>
  </cols>
  <sheetData>
    <row r="1" spans="1:7" ht="34.5" x14ac:dyDescent="0.45">
      <c r="A1" s="144" t="s">
        <v>24</v>
      </c>
      <c r="B1" s="144"/>
      <c r="C1" s="144"/>
      <c r="D1" s="144"/>
      <c r="E1" s="144"/>
      <c r="F1" s="144"/>
      <c r="G1" s="144"/>
    </row>
    <row r="2" spans="1:7" x14ac:dyDescent="0.2">
      <c r="A2" s="145"/>
      <c r="B2" s="145"/>
      <c r="C2" s="145"/>
      <c r="D2" s="145"/>
      <c r="E2" s="145"/>
      <c r="F2" s="145"/>
    </row>
    <row r="3" spans="1:7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7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7" ht="16.5" thickBot="1" x14ac:dyDescent="0.3">
      <c r="A5" s="3">
        <v>501050</v>
      </c>
      <c r="B5" s="4" t="s">
        <v>180</v>
      </c>
      <c r="C5" s="43">
        <v>16754</v>
      </c>
      <c r="D5" s="43">
        <v>9403</v>
      </c>
      <c r="E5" s="43">
        <v>7464</v>
      </c>
      <c r="F5" s="43">
        <v>13839</v>
      </c>
      <c r="G5" s="43">
        <v>10600</v>
      </c>
    </row>
    <row r="6" spans="1:7" ht="16.5" thickBot="1" x14ac:dyDescent="0.3">
      <c r="A6" s="7" t="s">
        <v>10</v>
      </c>
      <c r="B6" s="8"/>
      <c r="C6" s="30">
        <f>SUM(C5)</f>
        <v>16754</v>
      </c>
      <c r="D6" s="30">
        <f>SUM(D5)</f>
        <v>9403</v>
      </c>
      <c r="E6" s="30">
        <f>SUM(E5)</f>
        <v>7464</v>
      </c>
      <c r="F6" s="30">
        <f>SUM(F5)</f>
        <v>13839</v>
      </c>
      <c r="G6" s="30">
        <f>SUM(G5)</f>
        <v>10600</v>
      </c>
    </row>
    <row r="8" spans="1:7" ht="15.75" thickBot="1" x14ac:dyDescent="0.25">
      <c r="A8" s="1" t="s">
        <v>8</v>
      </c>
      <c r="B8" s="1"/>
      <c r="C8" s="1"/>
      <c r="D8" s="1"/>
      <c r="E8" s="1"/>
      <c r="F8" s="1"/>
      <c r="G8" s="1"/>
    </row>
    <row r="9" spans="1:7" ht="56.25" x14ac:dyDescent="0.2">
      <c r="A9" s="5" t="s">
        <v>1</v>
      </c>
      <c r="B9" s="5" t="s">
        <v>2</v>
      </c>
      <c r="C9" s="77" t="s">
        <v>6</v>
      </c>
      <c r="D9" s="77" t="s">
        <v>5</v>
      </c>
      <c r="E9" s="77" t="s">
        <v>350</v>
      </c>
      <c r="F9" s="77" t="s">
        <v>349</v>
      </c>
      <c r="G9" s="77" t="s">
        <v>348</v>
      </c>
    </row>
    <row r="10" spans="1:7" ht="15.75" x14ac:dyDescent="0.25">
      <c r="A10" s="3">
        <v>510125</v>
      </c>
      <c r="B10" s="4" t="s">
        <v>181</v>
      </c>
      <c r="C10" s="44">
        <v>1469</v>
      </c>
      <c r="D10" s="44">
        <v>456</v>
      </c>
      <c r="E10" s="44">
        <v>385</v>
      </c>
      <c r="F10" s="44">
        <v>425</v>
      </c>
      <c r="G10" s="44">
        <v>425</v>
      </c>
    </row>
    <row r="11" spans="1:7" ht="15.75" x14ac:dyDescent="0.25">
      <c r="A11" s="3">
        <v>510350</v>
      </c>
      <c r="B11" s="4" t="s">
        <v>142</v>
      </c>
      <c r="C11" s="36">
        <v>0</v>
      </c>
      <c r="D11" s="36">
        <v>124.95</v>
      </c>
      <c r="E11" s="36">
        <v>701</v>
      </c>
      <c r="F11" s="36">
        <v>2500</v>
      </c>
      <c r="G11" s="36">
        <v>1500</v>
      </c>
    </row>
    <row r="12" spans="1:7" ht="15.75" x14ac:dyDescent="0.25">
      <c r="A12" s="3">
        <v>510450</v>
      </c>
      <c r="B12" s="4" t="s">
        <v>145</v>
      </c>
      <c r="C12" s="6">
        <v>7864.49</v>
      </c>
      <c r="D12" s="6">
        <v>7736.16</v>
      </c>
      <c r="E12" s="6">
        <v>8643</v>
      </c>
      <c r="F12" s="6">
        <v>7100</v>
      </c>
      <c r="G12" s="6">
        <v>6500</v>
      </c>
    </row>
    <row r="13" spans="1:7" ht="15.75" x14ac:dyDescent="0.25">
      <c r="A13" s="3">
        <v>510750</v>
      </c>
      <c r="B13" s="4" t="s">
        <v>150</v>
      </c>
      <c r="C13" s="6">
        <v>2499.11</v>
      </c>
      <c r="D13" s="6">
        <v>3111.44</v>
      </c>
      <c r="E13" s="6">
        <v>4623</v>
      </c>
      <c r="F13" s="6">
        <v>9000</v>
      </c>
      <c r="G13" s="6">
        <v>5000</v>
      </c>
    </row>
    <row r="14" spans="1:7" ht="15.75" x14ac:dyDescent="0.25">
      <c r="A14" s="3">
        <v>510900</v>
      </c>
      <c r="B14" s="4" t="s">
        <v>152</v>
      </c>
      <c r="C14" s="6">
        <v>0</v>
      </c>
      <c r="D14" s="6">
        <v>109.34</v>
      </c>
      <c r="E14" s="6">
        <v>0</v>
      </c>
      <c r="F14" s="6">
        <v>6000</v>
      </c>
      <c r="G14" s="6">
        <v>4000</v>
      </c>
    </row>
    <row r="15" spans="1:7" ht="15.75" x14ac:dyDescent="0.25">
      <c r="A15" s="3">
        <v>519000</v>
      </c>
      <c r="B15" s="4" t="s">
        <v>125</v>
      </c>
      <c r="C15" s="6">
        <v>5022.78</v>
      </c>
      <c r="D15" s="6">
        <v>5263.84</v>
      </c>
      <c r="E15" s="6">
        <v>4557</v>
      </c>
      <c r="F15" s="6">
        <v>36766</v>
      </c>
      <c r="G15" s="6">
        <v>36766</v>
      </c>
    </row>
    <row r="16" spans="1:7" ht="15.75" x14ac:dyDescent="0.25">
      <c r="A16" s="3">
        <v>524150</v>
      </c>
      <c r="B16" s="4" t="s">
        <v>223</v>
      </c>
      <c r="C16" s="6">
        <v>9064.09</v>
      </c>
      <c r="D16" s="6">
        <v>299.99</v>
      </c>
      <c r="E16" s="6">
        <v>0</v>
      </c>
      <c r="F16" s="6">
        <v>0</v>
      </c>
      <c r="G16" s="6">
        <v>0</v>
      </c>
    </row>
    <row r="17" spans="1:7" ht="15.75" x14ac:dyDescent="0.25">
      <c r="A17" s="3">
        <v>524200</v>
      </c>
      <c r="B17" s="4" t="s">
        <v>224</v>
      </c>
      <c r="C17" s="6">
        <v>12286.79</v>
      </c>
      <c r="D17" s="6">
        <v>13925.67</v>
      </c>
      <c r="E17" s="6">
        <v>0</v>
      </c>
      <c r="F17" s="6">
        <v>0</v>
      </c>
      <c r="G17" s="6">
        <v>0</v>
      </c>
    </row>
    <row r="18" spans="1:7" ht="15.75" x14ac:dyDescent="0.25">
      <c r="A18" s="3">
        <v>524250</v>
      </c>
      <c r="B18" s="4" t="s">
        <v>225</v>
      </c>
      <c r="C18" s="6">
        <v>95973.51</v>
      </c>
      <c r="D18" s="6">
        <v>55811.78</v>
      </c>
      <c r="E18" s="6">
        <v>0</v>
      </c>
      <c r="F18" s="6">
        <v>56054</v>
      </c>
      <c r="G18" s="6">
        <v>56054</v>
      </c>
    </row>
    <row r="19" spans="1:7" ht="15.75" x14ac:dyDescent="0.25">
      <c r="A19" s="3">
        <v>530050</v>
      </c>
      <c r="B19" s="4" t="s">
        <v>182</v>
      </c>
      <c r="C19" s="6">
        <v>90.06</v>
      </c>
      <c r="D19" s="6">
        <v>0</v>
      </c>
      <c r="E19" s="6">
        <v>0</v>
      </c>
      <c r="F19" s="6">
        <v>0</v>
      </c>
      <c r="G19" s="6">
        <v>0</v>
      </c>
    </row>
    <row r="20" spans="1:7" ht="16.5" thickBot="1" x14ac:dyDescent="0.3">
      <c r="A20" s="3">
        <v>530075</v>
      </c>
      <c r="B20" s="4" t="s">
        <v>183</v>
      </c>
      <c r="C20" s="6">
        <v>17201.28</v>
      </c>
      <c r="D20" s="6">
        <v>7702.28</v>
      </c>
      <c r="E20" s="6">
        <v>11169</v>
      </c>
      <c r="F20" s="6">
        <v>19000</v>
      </c>
      <c r="G20" s="6">
        <v>14500</v>
      </c>
    </row>
    <row r="21" spans="1:7" ht="16.5" thickBot="1" x14ac:dyDescent="0.3">
      <c r="A21" s="7" t="s">
        <v>11</v>
      </c>
      <c r="B21" s="8"/>
      <c r="C21" s="30">
        <f>SUM(C10:C20)</f>
        <v>151471.10999999999</v>
      </c>
      <c r="D21" s="30">
        <f>SUM(D10:D20)</f>
        <v>94541.450000000012</v>
      </c>
      <c r="E21" s="30">
        <f>SUM(E10:E20)</f>
        <v>30078</v>
      </c>
      <c r="F21" s="30">
        <f>SUM(F10:F20)</f>
        <v>136845</v>
      </c>
      <c r="G21" s="30">
        <f>SUM(G10:G20)</f>
        <v>124745</v>
      </c>
    </row>
    <row r="22" spans="1:7" ht="15.75" thickBot="1" x14ac:dyDescent="0.25"/>
    <row r="23" spans="1:7" ht="16.5" thickBot="1" x14ac:dyDescent="0.3">
      <c r="A23" s="9" t="s">
        <v>48</v>
      </c>
      <c r="B23" s="10"/>
      <c r="C23" s="10"/>
      <c r="D23" s="10"/>
      <c r="E23" s="10"/>
      <c r="F23" s="10"/>
      <c r="G23" s="10"/>
    </row>
    <row r="24" spans="1:7" ht="15" customHeight="1" x14ac:dyDescent="0.2">
      <c r="A24" s="150"/>
      <c r="B24" s="152" t="s">
        <v>12</v>
      </c>
      <c r="C24" s="154" t="s">
        <v>6</v>
      </c>
      <c r="D24" s="154" t="s">
        <v>5</v>
      </c>
      <c r="E24" s="154" t="s">
        <v>350</v>
      </c>
      <c r="F24" s="154" t="s">
        <v>349</v>
      </c>
      <c r="G24" s="154" t="s">
        <v>348</v>
      </c>
    </row>
    <row r="25" spans="1:7" ht="43.5" customHeight="1" thickBot="1" x14ac:dyDescent="0.25">
      <c r="A25" s="151"/>
      <c r="B25" s="153"/>
      <c r="C25" s="155"/>
      <c r="D25" s="155"/>
      <c r="E25" s="155"/>
      <c r="F25" s="155"/>
      <c r="G25" s="155"/>
    </row>
    <row r="26" spans="1:7" ht="15.75" x14ac:dyDescent="0.25">
      <c r="A26" s="3"/>
      <c r="B26" s="4" t="s">
        <v>13</v>
      </c>
      <c r="C26" s="44">
        <f>C6</f>
        <v>16754</v>
      </c>
      <c r="D26" s="44">
        <f>D6</f>
        <v>9403</v>
      </c>
      <c r="E26" s="44">
        <f>E6</f>
        <v>7464</v>
      </c>
      <c r="F26" s="44">
        <f>F6</f>
        <v>13839</v>
      </c>
      <c r="G26" s="44">
        <f>G6</f>
        <v>10600</v>
      </c>
    </row>
    <row r="27" spans="1:7" ht="15.75" x14ac:dyDescent="0.25">
      <c r="A27" s="3"/>
      <c r="B27" s="4" t="s">
        <v>14</v>
      </c>
      <c r="C27" s="36">
        <f>C21</f>
        <v>151471.10999999999</v>
      </c>
      <c r="D27" s="36">
        <f>D21</f>
        <v>94541.450000000012</v>
      </c>
      <c r="E27" s="36">
        <f>E21</f>
        <v>30078</v>
      </c>
      <c r="F27" s="36">
        <f>F21</f>
        <v>136845</v>
      </c>
      <c r="G27" s="36">
        <f>G21</f>
        <v>124745</v>
      </c>
    </row>
    <row r="28" spans="1:7" ht="16.5" thickBot="1" x14ac:dyDescent="0.3">
      <c r="A28" s="3"/>
      <c r="B28" s="4" t="s">
        <v>15</v>
      </c>
      <c r="C28" s="6">
        <v>21926</v>
      </c>
      <c r="D28" s="6">
        <v>0</v>
      </c>
      <c r="E28" s="6">
        <v>0</v>
      </c>
      <c r="F28" s="6">
        <v>0</v>
      </c>
      <c r="G28" s="6">
        <v>0</v>
      </c>
    </row>
    <row r="29" spans="1:7" ht="15.75" x14ac:dyDescent="0.25">
      <c r="A29" s="11" t="s">
        <v>16</v>
      </c>
      <c r="B29" s="12"/>
      <c r="C29" s="31">
        <f>SUM(C26:C28)</f>
        <v>190151.11</v>
      </c>
      <c r="D29" s="31">
        <f>SUM(D26:D28)</f>
        <v>103944.45000000001</v>
      </c>
      <c r="E29" s="31">
        <f>SUM(E26:E28)</f>
        <v>37542</v>
      </c>
      <c r="F29" s="31">
        <f>SUM(F26:F28)</f>
        <v>150684</v>
      </c>
      <c r="G29" s="31">
        <f>SUM(G26:G28)</f>
        <v>135345</v>
      </c>
    </row>
    <row r="34" spans="5:5" ht="15.75" x14ac:dyDescent="0.25">
      <c r="E34"/>
    </row>
  </sheetData>
  <mergeCells count="9">
    <mergeCell ref="A1:G1"/>
    <mergeCell ref="G24:G25"/>
    <mergeCell ref="A2:F2"/>
    <mergeCell ref="A24:A25"/>
    <mergeCell ref="B24:B25"/>
    <mergeCell ref="C24:C25"/>
    <mergeCell ref="D24:D25"/>
    <mergeCell ref="E24:E25"/>
    <mergeCell ref="F24:F25"/>
  </mergeCells>
  <pageMargins left="0.45" right="0.45" top="0.75" bottom="0.75" header="0.3" footer="0.3"/>
  <pageSetup scale="74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4A01A-05D8-4503-8CC6-F946EB2A9209}">
  <sheetPr>
    <pageSetUpPr fitToPage="1"/>
  </sheetPr>
  <dimension ref="A1:H54"/>
  <sheetViews>
    <sheetView showGridLines="0" workbookViewId="0">
      <selection sqref="A1:G1"/>
    </sheetView>
  </sheetViews>
  <sheetFormatPr defaultColWidth="9.140625" defaultRowHeight="15" x14ac:dyDescent="0.2"/>
  <cols>
    <col min="1" max="1" width="29.28515625" style="2" customWidth="1"/>
    <col min="2" max="2" width="46.28515625" style="2" bestFit="1" customWidth="1"/>
    <col min="3" max="7" width="21" style="2" customWidth="1"/>
    <col min="8" max="16384" width="9.140625" style="2"/>
  </cols>
  <sheetData>
    <row r="1" spans="1:8" ht="34.5" x14ac:dyDescent="0.45">
      <c r="A1" s="144" t="s">
        <v>22</v>
      </c>
      <c r="B1" s="144"/>
      <c r="C1" s="144"/>
      <c r="D1" s="144"/>
      <c r="E1" s="144"/>
      <c r="F1" s="144"/>
      <c r="G1" s="144"/>
    </row>
    <row r="2" spans="1:8" x14ac:dyDescent="0.2">
      <c r="A2" s="145"/>
      <c r="B2" s="145"/>
      <c r="C2" s="145"/>
      <c r="D2" s="145"/>
      <c r="E2" s="145"/>
      <c r="F2" s="145"/>
    </row>
    <row r="3" spans="1:8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8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8" ht="15.75" x14ac:dyDescent="0.25">
      <c r="A5" s="3">
        <v>500000</v>
      </c>
      <c r="B5" s="4" t="s">
        <v>119</v>
      </c>
      <c r="C5" s="36">
        <v>58224.44</v>
      </c>
      <c r="D5" s="36">
        <v>55713.05</v>
      </c>
      <c r="E5" s="36">
        <v>84250</v>
      </c>
      <c r="F5" s="36">
        <f>E5+17000</f>
        <v>101250</v>
      </c>
      <c r="G5" s="36">
        <f>65000+11*27*15.5</f>
        <v>69603.5</v>
      </c>
      <c r="H5" s="2" t="s">
        <v>390</v>
      </c>
    </row>
    <row r="6" spans="1:8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36">
        <v>85000</v>
      </c>
    </row>
    <row r="7" spans="1:8" ht="15.75" x14ac:dyDescent="0.25">
      <c r="A7" s="3">
        <v>501000</v>
      </c>
      <c r="B7" s="4" t="s">
        <v>122</v>
      </c>
      <c r="C7" s="6">
        <v>4501.84</v>
      </c>
      <c r="D7" s="6">
        <v>4110.22</v>
      </c>
      <c r="E7" s="6">
        <v>6513</v>
      </c>
      <c r="F7" s="6">
        <v>5125</v>
      </c>
      <c r="G7" s="6">
        <v>7825</v>
      </c>
    </row>
    <row r="8" spans="1:8" ht="15.75" x14ac:dyDescent="0.25">
      <c r="A8" s="3">
        <v>501100</v>
      </c>
      <c r="B8" s="4" t="s">
        <v>123</v>
      </c>
      <c r="C8" s="6">
        <v>0</v>
      </c>
      <c r="D8" s="6">
        <v>0</v>
      </c>
      <c r="E8" s="6">
        <v>0</v>
      </c>
      <c r="F8" s="6">
        <v>10200</v>
      </c>
      <c r="G8" s="6">
        <v>14400</v>
      </c>
      <c r="H8" s="2" t="s">
        <v>381</v>
      </c>
    </row>
    <row r="9" spans="1:8" ht="15.75" x14ac:dyDescent="0.25">
      <c r="A9" s="3">
        <v>501150</v>
      </c>
      <c r="B9" s="4" t="s">
        <v>129</v>
      </c>
      <c r="C9" s="6">
        <v>0</v>
      </c>
      <c r="D9" s="6">
        <v>0</v>
      </c>
      <c r="E9" s="6">
        <v>0</v>
      </c>
      <c r="F9" s="6">
        <v>150</v>
      </c>
      <c r="G9" s="6">
        <v>210</v>
      </c>
      <c r="H9" s="2" t="s">
        <v>381</v>
      </c>
    </row>
    <row r="10" spans="1:8" ht="15.75" x14ac:dyDescent="0.25">
      <c r="A10" s="3">
        <v>501200</v>
      </c>
      <c r="B10" s="4" t="s">
        <v>130</v>
      </c>
      <c r="C10" s="6">
        <v>0</v>
      </c>
      <c r="D10" s="6">
        <v>0</v>
      </c>
      <c r="E10" s="6">
        <v>0</v>
      </c>
      <c r="F10" s="6">
        <v>4000</v>
      </c>
      <c r="G10" s="6">
        <v>5600</v>
      </c>
      <c r="H10" s="2" t="s">
        <v>382</v>
      </c>
    </row>
    <row r="11" spans="1:8" ht="16.5" thickBot="1" x14ac:dyDescent="0.3">
      <c r="A11" s="3">
        <v>501250</v>
      </c>
      <c r="B11" s="4" t="s">
        <v>124</v>
      </c>
      <c r="C11" s="6">
        <v>3443.98</v>
      </c>
      <c r="D11" s="6">
        <v>3165.86</v>
      </c>
      <c r="E11" s="6">
        <v>3052</v>
      </c>
      <c r="F11" s="6">
        <v>3700</v>
      </c>
      <c r="G11" s="6">
        <v>5200</v>
      </c>
    </row>
    <row r="12" spans="1:8" ht="16.5" thickBot="1" x14ac:dyDescent="0.3">
      <c r="A12" s="7" t="s">
        <v>10</v>
      </c>
      <c r="B12" s="8"/>
      <c r="C12" s="32">
        <f>SUM(C5:C11)</f>
        <v>66170.259999999995</v>
      </c>
      <c r="D12" s="32">
        <f>SUM(D5:D11)</f>
        <v>62989.130000000005</v>
      </c>
      <c r="E12" s="32">
        <f>SUM(E5:E11)</f>
        <v>93815</v>
      </c>
      <c r="F12" s="32">
        <f>SUM(F5:F11)</f>
        <v>124425</v>
      </c>
      <c r="G12" s="32">
        <f>SUM(G5:G11)</f>
        <v>187838.5</v>
      </c>
    </row>
    <row r="14" spans="1:8" ht="15.75" thickBot="1" x14ac:dyDescent="0.25">
      <c r="A14" s="1" t="s">
        <v>8</v>
      </c>
      <c r="B14" s="1"/>
      <c r="C14" s="1"/>
      <c r="D14" s="1"/>
      <c r="E14" s="1"/>
      <c r="F14" s="1"/>
      <c r="G14" s="1"/>
    </row>
    <row r="15" spans="1:8" ht="56.25" x14ac:dyDescent="0.2">
      <c r="A15" s="5" t="s">
        <v>1</v>
      </c>
      <c r="B15" s="5" t="s">
        <v>2</v>
      </c>
      <c r="C15" s="77" t="s">
        <v>6</v>
      </c>
      <c r="D15" s="77" t="s">
        <v>5</v>
      </c>
      <c r="E15" s="77" t="s">
        <v>350</v>
      </c>
      <c r="F15" s="77" t="s">
        <v>349</v>
      </c>
      <c r="G15" s="77" t="s">
        <v>348</v>
      </c>
    </row>
    <row r="16" spans="1:8" ht="15.75" x14ac:dyDescent="0.25">
      <c r="A16" s="3">
        <v>501300</v>
      </c>
      <c r="B16" s="4" t="s">
        <v>132</v>
      </c>
      <c r="C16" s="36">
        <v>2071.3200000000002</v>
      </c>
      <c r="D16" s="36">
        <v>1930.84</v>
      </c>
      <c r="E16" s="36">
        <v>1994.92</v>
      </c>
      <c r="F16" s="36">
        <v>2100</v>
      </c>
      <c r="G16" s="36">
        <v>2100</v>
      </c>
    </row>
    <row r="17" spans="1:7" ht="15.75" x14ac:dyDescent="0.25">
      <c r="A17" s="3">
        <v>501350</v>
      </c>
      <c r="B17" s="4" t="s">
        <v>133</v>
      </c>
      <c r="C17" s="6">
        <v>4988</v>
      </c>
      <c r="D17" s="6">
        <v>4944</v>
      </c>
      <c r="E17" s="6">
        <v>5153</v>
      </c>
      <c r="F17" s="6">
        <v>5500</v>
      </c>
      <c r="G17" s="6">
        <v>5500</v>
      </c>
    </row>
    <row r="18" spans="1:7" ht="15.75" x14ac:dyDescent="0.25">
      <c r="A18" s="3">
        <v>510450</v>
      </c>
      <c r="B18" s="4" t="s">
        <v>145</v>
      </c>
      <c r="C18" s="6">
        <v>5387.62</v>
      </c>
      <c r="D18" s="6">
        <v>5381.76</v>
      </c>
      <c r="E18" s="6">
        <v>5298.01</v>
      </c>
      <c r="F18" s="6">
        <v>5500</v>
      </c>
      <c r="G18" s="6">
        <v>5500</v>
      </c>
    </row>
    <row r="19" spans="1:7" ht="15.75" x14ac:dyDescent="0.25">
      <c r="A19" s="3">
        <v>510500</v>
      </c>
      <c r="B19" s="4" t="s">
        <v>170</v>
      </c>
      <c r="C19" s="6">
        <v>283.10000000000002</v>
      </c>
      <c r="D19" s="6">
        <v>1372.01</v>
      </c>
      <c r="E19" s="6">
        <v>888.42</v>
      </c>
      <c r="F19" s="6">
        <v>1000</v>
      </c>
      <c r="G19" s="6">
        <v>2000</v>
      </c>
    </row>
    <row r="20" spans="1:7" ht="15.75" x14ac:dyDescent="0.25">
      <c r="A20" s="3">
        <v>510550</v>
      </c>
      <c r="B20" s="4" t="s">
        <v>146</v>
      </c>
      <c r="C20" s="6">
        <v>686.5</v>
      </c>
      <c r="D20" s="6">
        <v>671.22</v>
      </c>
      <c r="E20" s="6">
        <v>726.41</v>
      </c>
      <c r="F20" s="6">
        <v>1500</v>
      </c>
      <c r="G20" s="6">
        <v>1500</v>
      </c>
    </row>
    <row r="21" spans="1:7" ht="15.75" x14ac:dyDescent="0.25">
      <c r="A21" s="3">
        <v>510600</v>
      </c>
      <c r="B21" s="4" t="s">
        <v>147</v>
      </c>
      <c r="C21" s="6">
        <v>0</v>
      </c>
      <c r="D21" s="6">
        <v>0</v>
      </c>
      <c r="E21" s="6">
        <v>500</v>
      </c>
      <c r="F21" s="6">
        <v>1000</v>
      </c>
      <c r="G21" s="6">
        <v>1000</v>
      </c>
    </row>
    <row r="22" spans="1:7" ht="15.75" x14ac:dyDescent="0.25">
      <c r="A22" s="3">
        <v>510650</v>
      </c>
      <c r="B22" s="4" t="s">
        <v>171</v>
      </c>
      <c r="C22" s="6">
        <v>2174.17</v>
      </c>
      <c r="D22" s="6">
        <v>0</v>
      </c>
      <c r="E22" s="6">
        <v>0</v>
      </c>
      <c r="F22" s="6">
        <v>1500</v>
      </c>
      <c r="G22" s="6">
        <v>1500</v>
      </c>
    </row>
    <row r="23" spans="1:7" ht="15.75" x14ac:dyDescent="0.25">
      <c r="A23" s="3">
        <v>510700</v>
      </c>
      <c r="B23" s="4" t="s">
        <v>149</v>
      </c>
      <c r="C23" s="6">
        <v>892.56</v>
      </c>
      <c r="D23" s="6">
        <v>2881.84</v>
      </c>
      <c r="E23" s="6">
        <v>7934.9</v>
      </c>
      <c r="F23" s="6">
        <v>2000</v>
      </c>
      <c r="G23" s="6">
        <f>4000-1000</f>
        <v>3000</v>
      </c>
    </row>
    <row r="24" spans="1:7" ht="15.75" x14ac:dyDescent="0.25">
      <c r="A24" s="3">
        <v>510750</v>
      </c>
      <c r="B24" s="4" t="s">
        <v>150</v>
      </c>
      <c r="C24" s="6">
        <v>5101.62</v>
      </c>
      <c r="D24" s="6">
        <v>11057.02</v>
      </c>
      <c r="E24" s="6">
        <v>5722.52</v>
      </c>
      <c r="F24" s="6">
        <v>10000</v>
      </c>
      <c r="G24" s="6">
        <v>10000</v>
      </c>
    </row>
    <row r="25" spans="1:7" ht="15.75" x14ac:dyDescent="0.25">
      <c r="A25" s="3">
        <v>510800</v>
      </c>
      <c r="B25" s="4" t="s">
        <v>151</v>
      </c>
      <c r="C25" s="6">
        <v>6568.99</v>
      </c>
      <c r="D25" s="6">
        <v>6655.68</v>
      </c>
      <c r="E25" s="6">
        <v>6542.71</v>
      </c>
      <c r="F25" s="6">
        <v>5500</v>
      </c>
      <c r="G25" s="6">
        <v>6000</v>
      </c>
    </row>
    <row r="26" spans="1:7" ht="15.75" x14ac:dyDescent="0.25">
      <c r="A26" s="3">
        <v>510825</v>
      </c>
      <c r="B26" s="4" t="s">
        <v>165</v>
      </c>
      <c r="C26" s="6">
        <v>64037.23</v>
      </c>
      <c r="D26" s="6">
        <v>65691.039999999994</v>
      </c>
      <c r="E26" s="6">
        <v>67365</v>
      </c>
      <c r="F26" s="6">
        <v>65000</v>
      </c>
      <c r="G26" s="6">
        <v>65000</v>
      </c>
    </row>
    <row r="27" spans="1:7" ht="15.75" x14ac:dyDescent="0.25">
      <c r="A27" s="3">
        <v>510900</v>
      </c>
      <c r="B27" s="4" t="s">
        <v>152</v>
      </c>
      <c r="C27" s="6">
        <v>4516.07</v>
      </c>
      <c r="D27" s="6">
        <v>38144.050000000003</v>
      </c>
      <c r="E27" s="6">
        <v>18702.72</v>
      </c>
      <c r="F27" s="6">
        <v>8000</v>
      </c>
      <c r="G27" s="6">
        <v>8000</v>
      </c>
    </row>
    <row r="28" spans="1:7" ht="15.75" x14ac:dyDescent="0.25">
      <c r="A28" s="3">
        <v>510925</v>
      </c>
      <c r="B28" s="4" t="s">
        <v>184</v>
      </c>
      <c r="C28" s="6">
        <v>2985</v>
      </c>
      <c r="D28" s="6">
        <v>0</v>
      </c>
      <c r="E28" s="6">
        <v>0</v>
      </c>
      <c r="F28" s="6">
        <v>1500</v>
      </c>
      <c r="G28" s="6">
        <v>1500</v>
      </c>
    </row>
    <row r="29" spans="1:7" ht="15.75" x14ac:dyDescent="0.25">
      <c r="A29" s="3">
        <v>511000</v>
      </c>
      <c r="B29" s="4" t="s">
        <v>153</v>
      </c>
      <c r="C29" s="6">
        <v>1824.05</v>
      </c>
      <c r="D29" s="6">
        <v>194.96</v>
      </c>
      <c r="E29" s="6">
        <v>356.29</v>
      </c>
      <c r="F29" s="6">
        <v>800</v>
      </c>
      <c r="G29" s="6">
        <v>2000</v>
      </c>
    </row>
    <row r="30" spans="1:7" ht="15.75" x14ac:dyDescent="0.25">
      <c r="A30" s="3">
        <v>511100</v>
      </c>
      <c r="B30" s="4" t="s">
        <v>155</v>
      </c>
      <c r="C30" s="6">
        <v>5463.93</v>
      </c>
      <c r="D30" s="6">
        <v>3160.65</v>
      </c>
      <c r="E30" s="6">
        <v>4203.6000000000004</v>
      </c>
      <c r="F30" s="6">
        <v>5000</v>
      </c>
      <c r="G30" s="6">
        <v>6000</v>
      </c>
    </row>
    <row r="31" spans="1:7" ht="15.75" x14ac:dyDescent="0.25">
      <c r="A31" s="3">
        <v>511200</v>
      </c>
      <c r="B31" s="4" t="s">
        <v>157</v>
      </c>
      <c r="C31" s="6">
        <v>14518.07</v>
      </c>
      <c r="D31" s="6">
        <v>14033.91</v>
      </c>
      <c r="E31" s="6">
        <v>12213.21</v>
      </c>
      <c r="F31" s="6">
        <v>0</v>
      </c>
      <c r="G31" s="6">
        <v>0</v>
      </c>
    </row>
    <row r="32" spans="1:7" ht="15.75" x14ac:dyDescent="0.25">
      <c r="A32" s="3">
        <v>511250</v>
      </c>
      <c r="B32" s="4" t="s">
        <v>158</v>
      </c>
      <c r="C32" s="6">
        <v>1206.5899999999999</v>
      </c>
      <c r="D32" s="6">
        <v>1085.01</v>
      </c>
      <c r="E32" s="6">
        <v>1672.27</v>
      </c>
      <c r="F32" s="6">
        <v>0</v>
      </c>
      <c r="G32" s="6">
        <v>0</v>
      </c>
    </row>
    <row r="33" spans="1:7" ht="15.75" x14ac:dyDescent="0.25">
      <c r="A33" s="3">
        <v>511300</v>
      </c>
      <c r="B33" s="4" t="s">
        <v>159</v>
      </c>
      <c r="C33" s="6">
        <v>945.35</v>
      </c>
      <c r="D33" s="6">
        <v>757.37</v>
      </c>
      <c r="E33" s="6">
        <v>656.94</v>
      </c>
      <c r="F33" s="6">
        <v>0</v>
      </c>
      <c r="G33" s="6">
        <v>0</v>
      </c>
    </row>
    <row r="34" spans="1:7" ht="15.75" x14ac:dyDescent="0.25">
      <c r="A34" s="3">
        <v>511350</v>
      </c>
      <c r="B34" s="4" t="s">
        <v>160</v>
      </c>
      <c r="C34" s="6">
        <v>569.86</v>
      </c>
      <c r="D34" s="6">
        <v>576.12</v>
      </c>
      <c r="E34" s="6">
        <v>582.12</v>
      </c>
      <c r="F34" s="6">
        <v>0</v>
      </c>
      <c r="G34" s="6">
        <v>0</v>
      </c>
    </row>
    <row r="35" spans="1:7" ht="15.75" x14ac:dyDescent="0.25">
      <c r="A35" s="3">
        <v>519000</v>
      </c>
      <c r="B35" s="4" t="s">
        <v>125</v>
      </c>
      <c r="C35" s="6">
        <v>2580.8200000000002</v>
      </c>
      <c r="D35" s="6">
        <v>2539.3000000000002</v>
      </c>
      <c r="E35" s="6">
        <v>2297.7800000000002</v>
      </c>
      <c r="F35" s="6">
        <v>1000</v>
      </c>
      <c r="G35" s="6">
        <v>1000</v>
      </c>
    </row>
    <row r="36" spans="1:7" ht="15.75" x14ac:dyDescent="0.25">
      <c r="A36" s="3">
        <v>531025</v>
      </c>
      <c r="B36" s="4" t="s">
        <v>174</v>
      </c>
      <c r="C36" s="6">
        <v>10838.25</v>
      </c>
      <c r="D36" s="6">
        <v>8863.92</v>
      </c>
      <c r="E36" s="6">
        <v>12450</v>
      </c>
      <c r="F36" s="6">
        <v>11000</v>
      </c>
      <c r="G36" s="6">
        <v>11000</v>
      </c>
    </row>
    <row r="37" spans="1:7" ht="15.75" x14ac:dyDescent="0.25">
      <c r="A37" s="3">
        <v>531350</v>
      </c>
      <c r="B37" s="4" t="s">
        <v>179</v>
      </c>
      <c r="C37" s="6">
        <v>586.83000000000004</v>
      </c>
      <c r="D37" s="6">
        <v>2905.31</v>
      </c>
      <c r="E37" s="6">
        <v>5091.6400000000003</v>
      </c>
      <c r="F37" s="6">
        <v>1500</v>
      </c>
      <c r="G37" s="6">
        <v>1500</v>
      </c>
    </row>
    <row r="38" spans="1:7" ht="15.75" x14ac:dyDescent="0.25">
      <c r="A38" s="3">
        <v>532000</v>
      </c>
      <c r="B38" s="4" t="s">
        <v>185</v>
      </c>
      <c r="C38" s="6">
        <v>1720</v>
      </c>
      <c r="D38" s="6">
        <v>2036.4</v>
      </c>
      <c r="E38" s="6">
        <v>2048</v>
      </c>
      <c r="F38" s="6">
        <v>2311</v>
      </c>
      <c r="G38" s="6">
        <v>2311</v>
      </c>
    </row>
    <row r="39" spans="1:7" ht="15.75" x14ac:dyDescent="0.25">
      <c r="A39" s="3">
        <v>532025</v>
      </c>
      <c r="B39" s="4" t="s">
        <v>186</v>
      </c>
      <c r="C39" s="6">
        <v>4064</v>
      </c>
      <c r="D39" s="6">
        <v>3581</v>
      </c>
      <c r="E39" s="6">
        <v>3012.02</v>
      </c>
      <c r="F39" s="6">
        <v>3000</v>
      </c>
      <c r="G39" s="6">
        <f>5000-2000</f>
        <v>3000</v>
      </c>
    </row>
    <row r="40" spans="1:7" ht="15.75" x14ac:dyDescent="0.25">
      <c r="A40" s="3">
        <v>532050</v>
      </c>
      <c r="B40" s="4" t="s">
        <v>187</v>
      </c>
      <c r="C40" s="6">
        <v>5463.2</v>
      </c>
      <c r="D40" s="6">
        <v>6144.24</v>
      </c>
      <c r="E40" s="6">
        <v>9037.2999999999993</v>
      </c>
      <c r="F40" s="6">
        <v>10000</v>
      </c>
      <c r="G40" s="6">
        <v>10000</v>
      </c>
    </row>
    <row r="41" spans="1:7" ht="16.5" thickBot="1" x14ac:dyDescent="0.3">
      <c r="A41" s="3">
        <v>580800</v>
      </c>
      <c r="B41" s="4" t="s">
        <v>167</v>
      </c>
      <c r="C41" s="6">
        <v>15673.55</v>
      </c>
      <c r="D41" s="6">
        <v>14019.74</v>
      </c>
      <c r="E41" s="6">
        <v>12345.78</v>
      </c>
      <c r="F41" s="6">
        <v>15508</v>
      </c>
      <c r="G41" s="6">
        <v>15508</v>
      </c>
    </row>
    <row r="42" spans="1:7" ht="16.5" thickBot="1" x14ac:dyDescent="0.3">
      <c r="A42" s="7" t="s">
        <v>11</v>
      </c>
      <c r="B42" s="8"/>
      <c r="C42" s="30">
        <f>SUM(C16:C41)</f>
        <v>165146.68000000002</v>
      </c>
      <c r="D42" s="30">
        <f>SUM(D16:D41)</f>
        <v>198627.38999999996</v>
      </c>
      <c r="E42" s="30">
        <f>SUM(E16:E41)</f>
        <v>186795.55999999997</v>
      </c>
      <c r="F42" s="30">
        <f>SUM(F16:F41)</f>
        <v>160219</v>
      </c>
      <c r="G42" s="30">
        <f>SUM(G16:G41)</f>
        <v>164919</v>
      </c>
    </row>
    <row r="43" spans="1:7" ht="15.75" thickBot="1" x14ac:dyDescent="0.25"/>
    <row r="44" spans="1:7" ht="16.5" thickBot="1" x14ac:dyDescent="0.3">
      <c r="A44" s="9" t="s">
        <v>48</v>
      </c>
      <c r="B44" s="10"/>
      <c r="C44" s="10"/>
      <c r="D44" s="10"/>
      <c r="E44" s="10"/>
      <c r="F44" s="10"/>
      <c r="G44" s="10"/>
    </row>
    <row r="45" spans="1:7" ht="15" customHeight="1" x14ac:dyDescent="0.2">
      <c r="A45" s="150"/>
      <c r="B45" s="152" t="s">
        <v>12</v>
      </c>
      <c r="C45" s="154" t="s">
        <v>6</v>
      </c>
      <c r="D45" s="154" t="s">
        <v>5</v>
      </c>
      <c r="E45" s="154" t="s">
        <v>350</v>
      </c>
      <c r="F45" s="154" t="s">
        <v>349</v>
      </c>
      <c r="G45" s="154" t="s">
        <v>348</v>
      </c>
    </row>
    <row r="46" spans="1:7" ht="45.75" customHeight="1" thickBot="1" x14ac:dyDescent="0.25">
      <c r="A46" s="151"/>
      <c r="B46" s="153"/>
      <c r="C46" s="163"/>
      <c r="D46" s="163"/>
      <c r="E46" s="163"/>
      <c r="F46" s="163"/>
      <c r="G46" s="163"/>
    </row>
    <row r="47" spans="1:7" ht="15.75" x14ac:dyDescent="0.25">
      <c r="A47" s="3"/>
      <c r="B47" s="4" t="s">
        <v>13</v>
      </c>
      <c r="C47" s="47">
        <f>C12</f>
        <v>66170.259999999995</v>
      </c>
      <c r="D47" s="47">
        <f>D12</f>
        <v>62989.130000000005</v>
      </c>
      <c r="E47" s="47">
        <f>E12</f>
        <v>93815</v>
      </c>
      <c r="F47" s="47">
        <f>F12</f>
        <v>124425</v>
      </c>
      <c r="G47" s="47">
        <f>G12</f>
        <v>187838.5</v>
      </c>
    </row>
    <row r="48" spans="1:7" ht="15.75" x14ac:dyDescent="0.25">
      <c r="A48" s="3"/>
      <c r="B48" s="4" t="s">
        <v>14</v>
      </c>
      <c r="C48" s="6">
        <f>C42</f>
        <v>165146.68000000002</v>
      </c>
      <c r="D48" s="6">
        <f>D42</f>
        <v>198627.38999999996</v>
      </c>
      <c r="E48" s="6">
        <f>E42</f>
        <v>186795.55999999997</v>
      </c>
      <c r="F48" s="6">
        <f>F42</f>
        <v>160219</v>
      </c>
      <c r="G48" s="6">
        <f>G42</f>
        <v>164919</v>
      </c>
    </row>
    <row r="49" spans="1:8" ht="16.5" thickBot="1" x14ac:dyDescent="0.3">
      <c r="A49" s="3"/>
      <c r="B49" s="4" t="s">
        <v>15</v>
      </c>
      <c r="C49" s="6">
        <v>0</v>
      </c>
      <c r="D49" s="6">
        <v>6762.8</v>
      </c>
      <c r="E49" s="6">
        <v>55845</v>
      </c>
      <c r="F49" s="6">
        <v>0</v>
      </c>
      <c r="G49" s="6">
        <f>60000-3000</f>
        <v>57000</v>
      </c>
      <c r="H49" s="2" t="s">
        <v>384</v>
      </c>
    </row>
    <row r="50" spans="1:8" ht="15.75" x14ac:dyDescent="0.25">
      <c r="A50" s="11" t="s">
        <v>16</v>
      </c>
      <c r="B50" s="12"/>
      <c r="C50" s="31">
        <f>SUM(C47:C49)</f>
        <v>231316.94</v>
      </c>
      <c r="D50" s="31">
        <f>SUM(D47:D49)</f>
        <v>268379.31999999995</v>
      </c>
      <c r="E50" s="31">
        <f>SUM(E47:E49)</f>
        <v>336455.55999999994</v>
      </c>
      <c r="F50" s="31">
        <f>SUM(F47:F49)</f>
        <v>284644</v>
      </c>
      <c r="G50" s="31">
        <f>SUM(G47:G49)</f>
        <v>409757.5</v>
      </c>
    </row>
    <row r="51" spans="1:8" ht="15.75" x14ac:dyDescent="0.25">
      <c r="A51" s="105"/>
      <c r="B51" s="106"/>
      <c r="C51" s="107"/>
      <c r="D51" s="107"/>
      <c r="E51" s="107"/>
      <c r="F51" s="107"/>
      <c r="G51" s="107"/>
    </row>
    <row r="53" spans="1:8" x14ac:dyDescent="0.2">
      <c r="A53" s="89" t="s">
        <v>355</v>
      </c>
    </row>
    <row r="54" spans="1:8" x14ac:dyDescent="0.2">
      <c r="A54" s="2" t="s">
        <v>356</v>
      </c>
      <c r="B54" s="90">
        <v>1000000</v>
      </c>
    </row>
  </sheetData>
  <mergeCells count="9">
    <mergeCell ref="A1:G1"/>
    <mergeCell ref="G45:G46"/>
    <mergeCell ref="A2:F2"/>
    <mergeCell ref="A45:A46"/>
    <mergeCell ref="B45:B46"/>
    <mergeCell ref="C45:C46"/>
    <mergeCell ref="D45:D46"/>
    <mergeCell ref="E45:E46"/>
    <mergeCell ref="F45:F46"/>
  </mergeCells>
  <pageMargins left="0.7" right="0.7" top="0.75" bottom="0.75" header="0.3" footer="0.3"/>
  <pageSetup scale="67" fitToHeight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245D-6E8C-4B92-B413-EDA2B868A2BE}">
  <sheetPr>
    <pageSetUpPr fitToPage="1"/>
  </sheetPr>
  <dimension ref="A1:J60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8" width="35.28515625" style="2" customWidth="1"/>
    <col min="9" max="16384" width="9.140625" style="2"/>
  </cols>
  <sheetData>
    <row r="1" spans="1:10" ht="34.5" x14ac:dyDescent="0.45">
      <c r="A1" s="144" t="s">
        <v>25</v>
      </c>
      <c r="B1" s="144"/>
      <c r="C1" s="144"/>
      <c r="D1" s="144"/>
      <c r="E1" s="144"/>
      <c r="F1" s="144"/>
      <c r="G1" s="144"/>
    </row>
    <row r="2" spans="1:10" x14ac:dyDescent="0.2">
      <c r="A2" s="145"/>
      <c r="B2" s="145"/>
      <c r="C2" s="145"/>
      <c r="D2" s="145"/>
      <c r="E2" s="145"/>
      <c r="F2" s="145"/>
    </row>
    <row r="3" spans="1:10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10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10" ht="15.75" x14ac:dyDescent="0.25">
      <c r="A5" s="3">
        <v>500000</v>
      </c>
      <c r="B5" s="4" t="s">
        <v>119</v>
      </c>
      <c r="C5" s="36">
        <v>465891.77</v>
      </c>
      <c r="D5" s="36">
        <v>504382.07</v>
      </c>
      <c r="E5" s="36">
        <v>491719</v>
      </c>
      <c r="F5" s="36">
        <v>533657</v>
      </c>
      <c r="G5" s="36">
        <f>225296+107567</f>
        <v>332863</v>
      </c>
    </row>
    <row r="6" spans="1:10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36">
        <f>491719-332863</f>
        <v>158856</v>
      </c>
    </row>
    <row r="7" spans="1:10" ht="15.75" x14ac:dyDescent="0.25">
      <c r="A7" s="3">
        <v>501000</v>
      </c>
      <c r="B7" s="4" t="s">
        <v>122</v>
      </c>
      <c r="C7" s="6">
        <v>34447.730000000003</v>
      </c>
      <c r="D7" s="6">
        <v>37064.06</v>
      </c>
      <c r="E7" s="6">
        <v>35483</v>
      </c>
      <c r="F7" s="6">
        <v>40825</v>
      </c>
      <c r="G7" s="6">
        <v>35483</v>
      </c>
    </row>
    <row r="8" spans="1:10" ht="15.75" x14ac:dyDescent="0.25">
      <c r="A8" s="3">
        <v>501100</v>
      </c>
      <c r="B8" s="4" t="s">
        <v>123</v>
      </c>
      <c r="C8" s="6">
        <v>96584</v>
      </c>
      <c r="D8" s="6">
        <v>99426</v>
      </c>
      <c r="E8" s="6">
        <v>95664</v>
      </c>
      <c r="F8" s="6">
        <v>98000</v>
      </c>
      <c r="G8" s="36">
        <f>103005*1.103</f>
        <v>113614.515</v>
      </c>
      <c r="H8" s="2" t="s">
        <v>381</v>
      </c>
    </row>
    <row r="9" spans="1:10" ht="15.75" x14ac:dyDescent="0.25">
      <c r="A9" s="3">
        <v>501150</v>
      </c>
      <c r="B9" s="4" t="s">
        <v>129</v>
      </c>
      <c r="C9" s="6">
        <v>1084.42</v>
      </c>
      <c r="D9" s="6">
        <v>1213.2</v>
      </c>
      <c r="E9" s="6">
        <v>1264</v>
      </c>
      <c r="F9" s="6">
        <v>1500</v>
      </c>
      <c r="G9" s="36">
        <f>1343*1.103</f>
        <v>1481.329</v>
      </c>
      <c r="H9" s="2" t="s">
        <v>381</v>
      </c>
    </row>
    <row r="10" spans="1:10" ht="15.75" x14ac:dyDescent="0.25">
      <c r="A10" s="3">
        <v>501200</v>
      </c>
      <c r="B10" s="4" t="s">
        <v>130</v>
      </c>
      <c r="C10" s="6">
        <v>28170.22</v>
      </c>
      <c r="D10" s="6">
        <v>37159.32</v>
      </c>
      <c r="E10" s="6">
        <v>39851</v>
      </c>
      <c r="F10" s="6">
        <v>65000</v>
      </c>
      <c r="G10" s="36">
        <v>78000</v>
      </c>
      <c r="H10" s="2" t="s">
        <v>382</v>
      </c>
    </row>
    <row r="11" spans="1:10" ht="15.75" x14ac:dyDescent="0.25">
      <c r="A11" s="3">
        <v>501225</v>
      </c>
      <c r="B11" s="4" t="s">
        <v>131</v>
      </c>
      <c r="C11" s="6">
        <v>124.74</v>
      </c>
      <c r="D11" s="6">
        <v>151.75</v>
      </c>
      <c r="E11" s="6">
        <v>365</v>
      </c>
      <c r="F11" s="6">
        <v>1246</v>
      </c>
      <c r="G11" s="36">
        <v>250</v>
      </c>
    </row>
    <row r="12" spans="1:10" ht="16.5" thickBot="1" x14ac:dyDescent="0.3">
      <c r="A12" s="3">
        <v>501250</v>
      </c>
      <c r="B12" s="4" t="s">
        <v>124</v>
      </c>
      <c r="C12" s="6">
        <v>17133.3</v>
      </c>
      <c r="D12" s="6">
        <v>19044.09</v>
      </c>
      <c r="E12" s="6">
        <v>10174</v>
      </c>
      <c r="F12" s="6">
        <v>21000</v>
      </c>
      <c r="G12" s="36">
        <v>17500</v>
      </c>
    </row>
    <row r="13" spans="1:10" ht="16.5" thickBot="1" x14ac:dyDescent="0.3">
      <c r="A13" s="7" t="s">
        <v>10</v>
      </c>
      <c r="B13" s="8"/>
      <c r="C13" s="82">
        <f>SUM(C5:C12)</f>
        <v>643436.18000000005</v>
      </c>
      <c r="D13" s="82">
        <f>SUM(D5:D12)</f>
        <v>698440.48999999987</v>
      </c>
      <c r="E13" s="82">
        <f>SUM(E5:E12)</f>
        <v>674520</v>
      </c>
      <c r="F13" s="82">
        <f>SUM(F5:F12)</f>
        <v>761228</v>
      </c>
      <c r="G13" s="82">
        <f>SUM(G5:G12)</f>
        <v>738047.84400000004</v>
      </c>
    </row>
    <row r="15" spans="1:10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10" ht="56.25" x14ac:dyDescent="0.2">
      <c r="A16" s="5" t="s">
        <v>1</v>
      </c>
      <c r="B16" s="5" t="s">
        <v>2</v>
      </c>
      <c r="C16" s="77" t="s">
        <v>6</v>
      </c>
      <c r="D16" s="77" t="s">
        <v>5</v>
      </c>
      <c r="E16" s="77" t="s">
        <v>350</v>
      </c>
      <c r="F16" s="77" t="s">
        <v>349</v>
      </c>
      <c r="G16" s="77" t="s">
        <v>348</v>
      </c>
      <c r="J16" s="2" t="s">
        <v>215</v>
      </c>
    </row>
    <row r="17" spans="1:10" ht="15.75" x14ac:dyDescent="0.25">
      <c r="A17" s="3">
        <v>501300</v>
      </c>
      <c r="B17" s="4" t="s">
        <v>132</v>
      </c>
      <c r="C17" s="6">
        <v>1133.32</v>
      </c>
      <c r="D17" s="6">
        <v>1147.8399999999999</v>
      </c>
      <c r="E17" s="6">
        <v>1171.92</v>
      </c>
      <c r="F17" s="6">
        <v>1100</v>
      </c>
      <c r="G17" s="6">
        <v>1100</v>
      </c>
      <c r="J17" s="2" t="s">
        <v>215</v>
      </c>
    </row>
    <row r="18" spans="1:10" ht="15.75" x14ac:dyDescent="0.25">
      <c r="A18" s="3">
        <v>501350</v>
      </c>
      <c r="B18" s="4" t="s">
        <v>133</v>
      </c>
      <c r="C18" s="6">
        <v>3139</v>
      </c>
      <c r="D18" s="6">
        <v>3572</v>
      </c>
      <c r="E18" s="6">
        <v>3566</v>
      </c>
      <c r="F18" s="6">
        <v>3200</v>
      </c>
      <c r="G18" s="6">
        <v>3000</v>
      </c>
    </row>
    <row r="19" spans="1:10" ht="15.75" x14ac:dyDescent="0.25">
      <c r="A19" s="3">
        <v>510100</v>
      </c>
      <c r="B19" s="4" t="s">
        <v>136</v>
      </c>
      <c r="C19" s="6"/>
      <c r="D19" s="6"/>
      <c r="E19" s="6">
        <v>0</v>
      </c>
      <c r="F19" s="6"/>
      <c r="G19" s="6">
        <v>0</v>
      </c>
      <c r="H19" s="116" t="s">
        <v>423</v>
      </c>
    </row>
    <row r="20" spans="1:10" ht="15.75" x14ac:dyDescent="0.25">
      <c r="A20" s="3">
        <v>510250</v>
      </c>
      <c r="B20" s="4" t="s">
        <v>188</v>
      </c>
      <c r="C20" s="6">
        <v>4681.9399999999996</v>
      </c>
      <c r="D20" s="6">
        <v>5795.49</v>
      </c>
      <c r="E20" s="6">
        <v>7765.45</v>
      </c>
      <c r="F20" s="6">
        <v>6500</v>
      </c>
      <c r="G20" s="6">
        <v>5500</v>
      </c>
    </row>
    <row r="21" spans="1:10" ht="15.75" x14ac:dyDescent="0.25">
      <c r="A21" s="3">
        <v>510350</v>
      </c>
      <c r="B21" s="4" t="s">
        <v>142</v>
      </c>
      <c r="C21" s="6">
        <v>2049.5500000000002</v>
      </c>
      <c r="D21" s="6">
        <v>1461.07</v>
      </c>
      <c r="E21" s="6">
        <v>932.92</v>
      </c>
      <c r="F21" s="6">
        <v>2500</v>
      </c>
      <c r="G21" s="6">
        <v>2000</v>
      </c>
      <c r="J21" s="2" t="s">
        <v>215</v>
      </c>
    </row>
    <row r="22" spans="1:10" ht="15.75" x14ac:dyDescent="0.25">
      <c r="A22" s="3">
        <v>510450</v>
      </c>
      <c r="B22" s="4" t="s">
        <v>145</v>
      </c>
      <c r="C22" s="6">
        <v>2649.37</v>
      </c>
      <c r="D22" s="6">
        <v>3770.74</v>
      </c>
      <c r="E22" s="6">
        <v>3196.46</v>
      </c>
      <c r="F22" s="6">
        <v>3000</v>
      </c>
      <c r="G22" s="6">
        <v>3500</v>
      </c>
    </row>
    <row r="23" spans="1:10" ht="15.75" x14ac:dyDescent="0.25">
      <c r="A23" s="3">
        <v>510500</v>
      </c>
      <c r="B23" s="4" t="s">
        <v>170</v>
      </c>
      <c r="C23" s="6">
        <v>5019.3999999999996</v>
      </c>
      <c r="D23" s="6">
        <v>3242.07</v>
      </c>
      <c r="E23" s="6">
        <v>3747.57</v>
      </c>
      <c r="F23" s="6">
        <v>3000</v>
      </c>
      <c r="G23" s="6">
        <v>3300</v>
      </c>
    </row>
    <row r="24" spans="1:10" ht="15.75" x14ac:dyDescent="0.25">
      <c r="A24" s="3">
        <v>510550</v>
      </c>
      <c r="B24" s="4" t="s">
        <v>146</v>
      </c>
      <c r="C24" s="6">
        <v>3231.79</v>
      </c>
      <c r="D24" s="6">
        <v>2641.75</v>
      </c>
      <c r="E24" s="6">
        <v>2455.35</v>
      </c>
      <c r="F24" s="6">
        <v>3000</v>
      </c>
      <c r="G24" s="6">
        <f>2500-500</f>
        <v>2000</v>
      </c>
    </row>
    <row r="25" spans="1:10" ht="15.75" x14ac:dyDescent="0.25">
      <c r="A25" s="3">
        <v>510600</v>
      </c>
      <c r="B25" s="4" t="s">
        <v>147</v>
      </c>
      <c r="C25" s="6">
        <v>2808</v>
      </c>
      <c r="D25" s="6">
        <v>4922.62</v>
      </c>
      <c r="E25" s="6">
        <v>9232.5400000000009</v>
      </c>
      <c r="F25" s="6">
        <v>6500</v>
      </c>
      <c r="G25" s="6">
        <v>4500</v>
      </c>
    </row>
    <row r="26" spans="1:10" ht="15.75" x14ac:dyDescent="0.25">
      <c r="A26" s="3">
        <v>510650</v>
      </c>
      <c r="B26" s="4" t="s">
        <v>171</v>
      </c>
      <c r="C26" s="6">
        <v>2174.17</v>
      </c>
      <c r="D26" s="6">
        <v>0</v>
      </c>
      <c r="E26" s="6">
        <v>0</v>
      </c>
      <c r="F26" s="6">
        <v>0</v>
      </c>
      <c r="G26" s="6">
        <v>1000</v>
      </c>
    </row>
    <row r="27" spans="1:10" ht="15.75" x14ac:dyDescent="0.25">
      <c r="A27" s="3">
        <v>510700</v>
      </c>
      <c r="B27" s="4" t="s">
        <v>149</v>
      </c>
      <c r="C27" s="6">
        <v>2629.5</v>
      </c>
      <c r="D27" s="6">
        <v>2294.37</v>
      </c>
      <c r="E27" s="6">
        <v>4870.8900000000003</v>
      </c>
      <c r="F27" s="6">
        <v>3000</v>
      </c>
      <c r="G27" s="6">
        <f>2500-500</f>
        <v>2000</v>
      </c>
    </row>
    <row r="28" spans="1:10" ht="15.75" x14ac:dyDescent="0.25">
      <c r="A28" s="3">
        <v>510750</v>
      </c>
      <c r="B28" s="4" t="s">
        <v>150</v>
      </c>
      <c r="C28" s="6">
        <v>16834.439999999999</v>
      </c>
      <c r="D28" s="6">
        <v>16522.34</v>
      </c>
      <c r="E28" s="6">
        <v>27061.4</v>
      </c>
      <c r="F28" s="6">
        <v>17000</v>
      </c>
      <c r="G28" s="6">
        <f>30000-1000</f>
        <v>29000</v>
      </c>
    </row>
    <row r="29" spans="1:10" ht="15.75" x14ac:dyDescent="0.25">
      <c r="A29" s="3">
        <v>510800</v>
      </c>
      <c r="B29" s="4" t="s">
        <v>151</v>
      </c>
      <c r="C29" s="6">
        <v>22451.75</v>
      </c>
      <c r="D29" s="6">
        <v>22376.85</v>
      </c>
      <c r="E29" s="6">
        <v>15379.22</v>
      </c>
      <c r="F29" s="6">
        <v>23000</v>
      </c>
      <c r="G29" s="6">
        <v>23000</v>
      </c>
    </row>
    <row r="30" spans="1:10" ht="15.75" x14ac:dyDescent="0.25">
      <c r="A30" s="3">
        <v>510900</v>
      </c>
      <c r="B30" s="4" t="s">
        <v>152</v>
      </c>
      <c r="C30" s="6">
        <v>6163.82</v>
      </c>
      <c r="D30" s="6">
        <v>24908.04</v>
      </c>
      <c r="E30" s="6">
        <v>6378.06</v>
      </c>
      <c r="F30" s="6">
        <v>20000</v>
      </c>
      <c r="G30" s="6">
        <f>31000-1000</f>
        <v>30000</v>
      </c>
      <c r="H30" s="2" t="s">
        <v>353</v>
      </c>
    </row>
    <row r="31" spans="1:10" ht="15.75" x14ac:dyDescent="0.25">
      <c r="A31" s="3">
        <v>511000</v>
      </c>
      <c r="B31" s="4" t="s">
        <v>153</v>
      </c>
      <c r="C31" s="6">
        <v>2559.88</v>
      </c>
      <c r="D31" s="6">
        <v>1629.24</v>
      </c>
      <c r="E31" s="6">
        <v>680.65</v>
      </c>
      <c r="F31" s="6">
        <v>1000</v>
      </c>
      <c r="G31" s="6">
        <v>2000</v>
      </c>
    </row>
    <row r="32" spans="1:10" ht="15.75" x14ac:dyDescent="0.25">
      <c r="A32" s="3">
        <v>511100</v>
      </c>
      <c r="B32" s="4" t="s">
        <v>155</v>
      </c>
      <c r="C32" s="6">
        <v>6114.97</v>
      </c>
      <c r="D32" s="6">
        <v>4020.8</v>
      </c>
      <c r="E32" s="6">
        <v>10630.39</v>
      </c>
      <c r="F32" s="6">
        <v>5000</v>
      </c>
      <c r="G32" s="6">
        <v>5500</v>
      </c>
    </row>
    <row r="33" spans="1:7" ht="15.75" x14ac:dyDescent="0.25">
      <c r="A33" s="3">
        <v>511150</v>
      </c>
      <c r="B33" s="4" t="s">
        <v>156</v>
      </c>
      <c r="C33" s="6">
        <v>748.36</v>
      </c>
      <c r="D33" s="6">
        <v>839.48</v>
      </c>
      <c r="E33" s="6">
        <v>766.26</v>
      </c>
      <c r="F33" s="6">
        <v>1000</v>
      </c>
      <c r="G33" s="6">
        <v>1000</v>
      </c>
    </row>
    <row r="34" spans="1:7" ht="15.75" x14ac:dyDescent="0.25">
      <c r="A34" s="3">
        <v>511175</v>
      </c>
      <c r="B34" s="4" t="s">
        <v>189</v>
      </c>
      <c r="C34" s="6">
        <v>17572.11</v>
      </c>
      <c r="D34" s="6">
        <v>19038.740000000002</v>
      </c>
      <c r="E34" s="6">
        <v>17542.95</v>
      </c>
      <c r="F34" s="6">
        <f>17000+18000</f>
        <v>35000</v>
      </c>
      <c r="G34" s="6">
        <f>17000+18000-1500</f>
        <v>33500</v>
      </c>
    </row>
    <row r="35" spans="1:7" ht="15.75" x14ac:dyDescent="0.25">
      <c r="A35" s="3">
        <v>511180</v>
      </c>
      <c r="B35" s="4" t="s">
        <v>367</v>
      </c>
      <c r="C35" s="6"/>
      <c r="D35" s="6"/>
      <c r="E35" s="6">
        <v>0</v>
      </c>
      <c r="F35" s="6"/>
      <c r="G35" s="6">
        <v>6000</v>
      </c>
    </row>
    <row r="36" spans="1:7" ht="15.75" x14ac:dyDescent="0.25">
      <c r="A36" s="3">
        <v>511200</v>
      </c>
      <c r="B36" s="4" t="s">
        <v>157</v>
      </c>
      <c r="C36" s="6">
        <v>9885.93</v>
      </c>
      <c r="D36" s="6">
        <v>8597.8799999999992</v>
      </c>
      <c r="E36" s="6">
        <v>8383</v>
      </c>
      <c r="F36" s="6">
        <v>0</v>
      </c>
      <c r="G36" s="6">
        <v>0</v>
      </c>
    </row>
    <row r="37" spans="1:7" ht="15.75" x14ac:dyDescent="0.25">
      <c r="A37" s="3">
        <v>511250</v>
      </c>
      <c r="B37" s="4" t="s">
        <v>158</v>
      </c>
      <c r="C37" s="6">
        <v>300.07</v>
      </c>
      <c r="D37" s="6">
        <v>375.88</v>
      </c>
      <c r="E37" s="6">
        <v>272</v>
      </c>
      <c r="F37" s="6">
        <v>0</v>
      </c>
      <c r="G37" s="6">
        <v>0</v>
      </c>
    </row>
    <row r="38" spans="1:7" ht="15.75" x14ac:dyDescent="0.25">
      <c r="A38" s="3">
        <v>511300</v>
      </c>
      <c r="B38" s="4" t="s">
        <v>159</v>
      </c>
      <c r="C38" s="6">
        <v>354.49</v>
      </c>
      <c r="D38" s="6">
        <v>481.59</v>
      </c>
      <c r="E38" s="6">
        <v>437</v>
      </c>
      <c r="F38" s="6">
        <v>0</v>
      </c>
      <c r="G38" s="6">
        <v>0</v>
      </c>
    </row>
    <row r="39" spans="1:7" ht="15.75" x14ac:dyDescent="0.25">
      <c r="A39" s="3">
        <v>511350</v>
      </c>
      <c r="B39" s="4" t="s">
        <v>160</v>
      </c>
      <c r="C39" s="6">
        <v>552.88</v>
      </c>
      <c r="D39" s="6">
        <v>558.96</v>
      </c>
      <c r="E39" s="6">
        <v>561</v>
      </c>
      <c r="F39" s="6">
        <v>0</v>
      </c>
      <c r="G39" s="6">
        <v>0</v>
      </c>
    </row>
    <row r="40" spans="1:7" ht="15.75" x14ac:dyDescent="0.25">
      <c r="A40" s="3">
        <v>519000</v>
      </c>
      <c r="B40" s="4" t="s">
        <v>125</v>
      </c>
      <c r="C40" s="6">
        <v>13920.09</v>
      </c>
      <c r="D40" s="6">
        <v>3350.55</v>
      </c>
      <c r="E40" s="6">
        <v>427</v>
      </c>
      <c r="F40" s="6">
        <v>1000</v>
      </c>
      <c r="G40" s="6">
        <v>1500</v>
      </c>
    </row>
    <row r="41" spans="1:7" ht="15.75" x14ac:dyDescent="0.25">
      <c r="A41" s="3">
        <v>531025</v>
      </c>
      <c r="B41" s="4" t="s">
        <v>174</v>
      </c>
      <c r="C41" s="6">
        <v>10838.25</v>
      </c>
      <c r="D41" s="6">
        <v>8863.92</v>
      </c>
      <c r="E41" s="6">
        <v>12450</v>
      </c>
      <c r="F41" s="6">
        <v>13500</v>
      </c>
      <c r="G41" s="6">
        <v>22000</v>
      </c>
    </row>
    <row r="42" spans="1:7" ht="15.75" x14ac:dyDescent="0.25">
      <c r="A42" s="3">
        <v>531350</v>
      </c>
      <c r="B42" s="4" t="s">
        <v>179</v>
      </c>
      <c r="C42" s="6">
        <v>7627.97</v>
      </c>
      <c r="D42" s="6">
        <v>2126.6999999999998</v>
      </c>
      <c r="E42" s="6">
        <v>6538</v>
      </c>
      <c r="F42" s="6">
        <v>1000</v>
      </c>
      <c r="G42" s="6">
        <f>5000-1500</f>
        <v>3500</v>
      </c>
    </row>
    <row r="43" spans="1:7" ht="15.75" x14ac:dyDescent="0.25">
      <c r="A43" s="3">
        <v>532100</v>
      </c>
      <c r="B43" s="4" t="s">
        <v>190</v>
      </c>
      <c r="C43" s="6">
        <v>46498.52</v>
      </c>
      <c r="D43" s="6">
        <v>45046.03</v>
      </c>
      <c r="E43" s="6">
        <v>45539</v>
      </c>
      <c r="F43" s="6">
        <v>45000</v>
      </c>
      <c r="G43" s="6">
        <v>45000</v>
      </c>
    </row>
    <row r="44" spans="1:7" ht="15.75" x14ac:dyDescent="0.25">
      <c r="A44" s="3">
        <v>532125</v>
      </c>
      <c r="B44" s="4" t="s">
        <v>191</v>
      </c>
      <c r="C44" s="6">
        <v>2338.92</v>
      </c>
      <c r="D44" s="6">
        <v>1333.48</v>
      </c>
      <c r="E44" s="6">
        <v>158</v>
      </c>
      <c r="F44" s="6">
        <v>1500</v>
      </c>
      <c r="G44" s="6">
        <v>1500</v>
      </c>
    </row>
    <row r="45" spans="1:7" ht="16.5" thickBot="1" x14ac:dyDescent="0.3">
      <c r="A45" s="3">
        <v>561000</v>
      </c>
      <c r="B45" s="4" t="s">
        <v>192</v>
      </c>
      <c r="C45" s="6">
        <v>1714.22</v>
      </c>
      <c r="D45" s="6">
        <v>2820.53</v>
      </c>
      <c r="E45" s="6">
        <v>1982</v>
      </c>
      <c r="F45" s="6">
        <v>2500</v>
      </c>
      <c r="G45" s="6">
        <v>2500</v>
      </c>
    </row>
    <row r="46" spans="1:7" ht="16.5" thickBot="1" x14ac:dyDescent="0.3">
      <c r="A46" s="7" t="s">
        <v>11</v>
      </c>
      <c r="B46" s="8"/>
      <c r="C46" s="30">
        <f>SUM(C17:C45)</f>
        <v>195992.71000000002</v>
      </c>
      <c r="D46" s="30">
        <f>SUM(D17:D45)</f>
        <v>191738.96000000005</v>
      </c>
      <c r="E46" s="30">
        <f>SUM(E17:E45)</f>
        <v>192125.02999999997</v>
      </c>
      <c r="F46" s="30">
        <f>SUM(F17:F45)</f>
        <v>198300</v>
      </c>
      <c r="G46" s="30">
        <f>SUM(G17:G45)</f>
        <v>233900</v>
      </c>
    </row>
    <row r="47" spans="1:7" ht="15.75" thickBot="1" x14ac:dyDescent="0.25"/>
    <row r="48" spans="1:7" ht="16.5" thickBot="1" x14ac:dyDescent="0.3">
      <c r="A48" s="9" t="s">
        <v>48</v>
      </c>
      <c r="B48" s="10"/>
      <c r="C48" s="10"/>
      <c r="D48" s="10"/>
      <c r="E48" s="10"/>
      <c r="F48" s="10"/>
      <c r="G48" s="10"/>
    </row>
    <row r="49" spans="1:8" ht="15" customHeight="1" x14ac:dyDescent="0.2">
      <c r="A49" s="150"/>
      <c r="B49" s="152" t="s">
        <v>12</v>
      </c>
      <c r="C49" s="154" t="s">
        <v>6</v>
      </c>
      <c r="D49" s="154" t="s">
        <v>5</v>
      </c>
      <c r="E49" s="154" t="s">
        <v>350</v>
      </c>
      <c r="F49" s="154" t="s">
        <v>349</v>
      </c>
      <c r="G49" s="154" t="s">
        <v>348</v>
      </c>
    </row>
    <row r="50" spans="1:8" ht="52.5" customHeight="1" thickBot="1" x14ac:dyDescent="0.25">
      <c r="A50" s="151"/>
      <c r="B50" s="153"/>
      <c r="C50" s="163"/>
      <c r="D50" s="163"/>
      <c r="E50" s="163"/>
      <c r="F50" s="163"/>
      <c r="G50" s="163"/>
    </row>
    <row r="51" spans="1:8" ht="15.75" x14ac:dyDescent="0.25">
      <c r="A51" s="3"/>
      <c r="B51" s="4" t="s">
        <v>13</v>
      </c>
      <c r="C51" s="48">
        <f>C13</f>
        <v>643436.18000000005</v>
      </c>
      <c r="D51" s="48">
        <f>D13</f>
        <v>698440.48999999987</v>
      </c>
      <c r="E51" s="48">
        <f>E13</f>
        <v>674520</v>
      </c>
      <c r="F51" s="48">
        <f>F13</f>
        <v>761228</v>
      </c>
      <c r="G51" s="48">
        <f>G13</f>
        <v>738047.84400000004</v>
      </c>
    </row>
    <row r="52" spans="1:8" ht="15.75" x14ac:dyDescent="0.25">
      <c r="A52" s="3"/>
      <c r="B52" s="4" t="s">
        <v>14</v>
      </c>
      <c r="C52" s="6">
        <f>C46</f>
        <v>195992.71000000002</v>
      </c>
      <c r="D52" s="6">
        <f>D46</f>
        <v>191738.96000000005</v>
      </c>
      <c r="E52" s="6">
        <f>E46</f>
        <v>192125.02999999997</v>
      </c>
      <c r="F52" s="6">
        <f>F46</f>
        <v>198300</v>
      </c>
      <c r="G52" s="6">
        <f>G46</f>
        <v>233900</v>
      </c>
    </row>
    <row r="53" spans="1:8" ht="16.5" thickBot="1" x14ac:dyDescent="0.3">
      <c r="A53" s="3"/>
      <c r="B53" s="4" t="s">
        <v>15</v>
      </c>
      <c r="C53" s="6">
        <v>122520.82</v>
      </c>
      <c r="D53" s="6">
        <v>52050.36</v>
      </c>
      <c r="E53" s="6">
        <v>62810</v>
      </c>
      <c r="F53" s="6">
        <v>0</v>
      </c>
      <c r="G53" s="6">
        <v>62000</v>
      </c>
      <c r="H53" s="2" t="s">
        <v>352</v>
      </c>
    </row>
    <row r="54" spans="1:8" ht="15.75" x14ac:dyDescent="0.25">
      <c r="A54" s="11" t="s">
        <v>16</v>
      </c>
      <c r="B54" s="12"/>
      <c r="C54" s="31">
        <f>SUM(C51:C53)</f>
        <v>961949.7100000002</v>
      </c>
      <c r="D54" s="31">
        <f>SUM(D51:D53)</f>
        <v>942229.80999999994</v>
      </c>
      <c r="E54" s="31">
        <f>SUM(E51:E53)</f>
        <v>929455.03</v>
      </c>
      <c r="F54" s="31">
        <f>SUM(F51:F53)</f>
        <v>959528</v>
      </c>
      <c r="G54" s="31">
        <f>SUM(G51:G53)</f>
        <v>1033947.844</v>
      </c>
    </row>
    <row r="60" spans="1:8" ht="15.75" x14ac:dyDescent="0.25">
      <c r="E60"/>
    </row>
  </sheetData>
  <mergeCells count="9">
    <mergeCell ref="A1:G1"/>
    <mergeCell ref="G49:G50"/>
    <mergeCell ref="A2:F2"/>
    <mergeCell ref="A49:A50"/>
    <mergeCell ref="B49:B50"/>
    <mergeCell ref="C49:C50"/>
    <mergeCell ref="D49:D50"/>
    <mergeCell ref="E49:E50"/>
    <mergeCell ref="F49:F50"/>
  </mergeCells>
  <pageMargins left="0.45" right="0.45" top="0.75" bottom="0.75" header="0.3" footer="0.3"/>
  <pageSetup scale="5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F090-3145-439B-A898-5EAD9CC65B9C}">
  <dimension ref="A2:L115"/>
  <sheetViews>
    <sheetView workbookViewId="0">
      <selection activeCell="L28" sqref="L28"/>
    </sheetView>
  </sheetViews>
  <sheetFormatPr defaultColWidth="9.140625" defaultRowHeight="18.75" x14ac:dyDescent="0.3"/>
  <cols>
    <col min="1" max="1" width="22.140625" style="50" bestFit="1" customWidth="1"/>
    <col min="2" max="2" width="22.140625" style="50" customWidth="1"/>
    <col min="3" max="6" width="20.42578125" style="50" customWidth="1"/>
    <col min="7" max="9" width="9.140625" style="50"/>
    <col min="10" max="10" width="16" style="50" bestFit="1" customWidth="1"/>
    <col min="11" max="11" width="9.140625" style="50"/>
    <col min="12" max="12" width="14.140625" style="50" bestFit="1" customWidth="1"/>
    <col min="13" max="13" width="19.85546875" style="50" bestFit="1" customWidth="1"/>
    <col min="14" max="17" width="14.5703125" style="50" bestFit="1" customWidth="1"/>
    <col min="18" max="16384" width="9.140625" style="50"/>
  </cols>
  <sheetData>
    <row r="2" spans="1:6" ht="26.25" thickBot="1" x14ac:dyDescent="0.35">
      <c r="A2" s="130" t="s">
        <v>311</v>
      </c>
      <c r="B2" s="131"/>
      <c r="C2" s="131"/>
      <c r="D2" s="131"/>
      <c r="E2" s="131"/>
      <c r="F2" s="131"/>
    </row>
    <row r="3" spans="1:6" ht="56.25" x14ac:dyDescent="0.3">
      <c r="A3" s="77" t="s">
        <v>215</v>
      </c>
      <c r="B3" s="77"/>
      <c r="C3" s="77" t="s">
        <v>6</v>
      </c>
      <c r="D3" s="77" t="s">
        <v>5</v>
      </c>
      <c r="E3" s="77" t="s">
        <v>310</v>
      </c>
      <c r="F3" s="77" t="s">
        <v>3</v>
      </c>
    </row>
    <row r="4" spans="1:6" x14ac:dyDescent="0.3">
      <c r="A4" s="78" t="s">
        <v>297</v>
      </c>
      <c r="B4" s="78"/>
      <c r="C4" s="81">
        <v>119595.67</v>
      </c>
      <c r="D4" s="81">
        <v>83675.569999999992</v>
      </c>
      <c r="E4" s="81">
        <v>267745</v>
      </c>
      <c r="F4" s="81">
        <v>28245</v>
      </c>
    </row>
    <row r="5" spans="1:6" x14ac:dyDescent="0.3">
      <c r="A5" s="78" t="s">
        <v>0</v>
      </c>
      <c r="B5" s="78"/>
      <c r="C5" s="81">
        <v>0</v>
      </c>
      <c r="D5" s="81">
        <v>0</v>
      </c>
      <c r="E5" s="81">
        <v>0</v>
      </c>
      <c r="F5" s="81">
        <v>215588</v>
      </c>
    </row>
    <row r="6" spans="1:6" x14ac:dyDescent="0.3">
      <c r="A6" s="78" t="s">
        <v>17</v>
      </c>
      <c r="B6" s="78"/>
      <c r="C6" s="81">
        <v>741275.17999999993</v>
      </c>
      <c r="D6" s="81">
        <v>831709.0199999999</v>
      </c>
      <c r="E6" s="81">
        <v>936045</v>
      </c>
      <c r="F6" s="81">
        <v>801328</v>
      </c>
    </row>
    <row r="7" spans="1:6" x14ac:dyDescent="0.3">
      <c r="A7" s="78" t="s">
        <v>298</v>
      </c>
      <c r="B7" s="78"/>
      <c r="C7" s="81">
        <v>0</v>
      </c>
      <c r="D7" s="81">
        <v>0</v>
      </c>
      <c r="E7" s="81">
        <v>0</v>
      </c>
      <c r="F7" s="81">
        <v>142678.5</v>
      </c>
    </row>
    <row r="8" spans="1:6" x14ac:dyDescent="0.3">
      <c r="A8" s="78" t="s">
        <v>299</v>
      </c>
      <c r="B8" s="78"/>
      <c r="C8" s="81">
        <v>0</v>
      </c>
      <c r="D8" s="81">
        <v>0</v>
      </c>
      <c r="E8" s="81">
        <v>0</v>
      </c>
      <c r="F8" s="81">
        <v>67000</v>
      </c>
    </row>
    <row r="9" spans="1:6" x14ac:dyDescent="0.3">
      <c r="A9" s="78" t="s">
        <v>300</v>
      </c>
      <c r="B9" s="78"/>
      <c r="C9" s="81">
        <v>205346.03</v>
      </c>
      <c r="D9" s="81">
        <v>130179.18</v>
      </c>
      <c r="E9" s="81">
        <v>185502</v>
      </c>
      <c r="F9" s="81">
        <v>117175</v>
      </c>
    </row>
    <row r="10" spans="1:6" x14ac:dyDescent="0.3">
      <c r="A10" s="78" t="s">
        <v>301</v>
      </c>
      <c r="B10" s="78"/>
      <c r="C10" s="81">
        <v>48803.89</v>
      </c>
      <c r="D10" s="81">
        <v>68308.77</v>
      </c>
      <c r="E10" s="81">
        <v>70785</v>
      </c>
      <c r="F10" s="81">
        <v>80685</v>
      </c>
    </row>
    <row r="11" spans="1:6" x14ac:dyDescent="0.3">
      <c r="A11" s="78" t="s">
        <v>302</v>
      </c>
      <c r="B11" s="78"/>
      <c r="C11" s="81">
        <v>2039041.98</v>
      </c>
      <c r="D11" s="81">
        <v>2040078.0500000003</v>
      </c>
      <c r="E11" s="81">
        <v>2086064.88</v>
      </c>
      <c r="F11" s="81">
        <v>2131960</v>
      </c>
    </row>
    <row r="12" spans="1:6" x14ac:dyDescent="0.3">
      <c r="A12" s="78" t="s">
        <v>303</v>
      </c>
      <c r="B12" s="78"/>
      <c r="C12" s="81">
        <v>190151.11</v>
      </c>
      <c r="D12" s="81">
        <v>103944.45000000001</v>
      </c>
      <c r="E12" s="81">
        <v>150684</v>
      </c>
      <c r="F12" s="81">
        <v>150684</v>
      </c>
    </row>
    <row r="13" spans="1:6" x14ac:dyDescent="0.3">
      <c r="A13" s="78" t="s">
        <v>304</v>
      </c>
      <c r="B13" s="78"/>
      <c r="C13" s="81">
        <v>231316.94</v>
      </c>
      <c r="D13" s="81">
        <v>268379.31999999995</v>
      </c>
      <c r="E13" s="81">
        <v>247144</v>
      </c>
      <c r="F13" s="81">
        <v>267394</v>
      </c>
    </row>
    <row r="14" spans="1:6" x14ac:dyDescent="0.3">
      <c r="A14" s="78" t="s">
        <v>305</v>
      </c>
      <c r="B14" s="78"/>
      <c r="C14" s="81">
        <v>961949.7100000002</v>
      </c>
      <c r="D14" s="81">
        <v>942229.80999999994</v>
      </c>
      <c r="E14" s="81">
        <v>836946</v>
      </c>
      <c r="F14" s="81">
        <v>959528</v>
      </c>
    </row>
    <row r="15" spans="1:6" x14ac:dyDescent="0.3">
      <c r="A15" s="78" t="s">
        <v>306</v>
      </c>
      <c r="B15" s="78"/>
      <c r="C15" s="81">
        <v>1026499.4099999999</v>
      </c>
      <c r="D15" s="81">
        <v>1401901.17</v>
      </c>
      <c r="E15" s="81">
        <v>2190350</v>
      </c>
      <c r="F15" s="81">
        <v>1885470</v>
      </c>
    </row>
    <row r="16" spans="1:6" x14ac:dyDescent="0.3">
      <c r="A16" s="78" t="s">
        <v>307</v>
      </c>
      <c r="B16" s="78"/>
      <c r="C16" s="81">
        <v>510804.6</v>
      </c>
      <c r="D16" s="81">
        <v>489960.9</v>
      </c>
      <c r="E16" s="81">
        <v>521139</v>
      </c>
      <c r="F16" s="81">
        <v>578067</v>
      </c>
    </row>
    <row r="17" spans="1:12" x14ac:dyDescent="0.3">
      <c r="A17" s="78" t="s">
        <v>308</v>
      </c>
      <c r="B17" s="78"/>
      <c r="C17" s="81">
        <v>243849.83</v>
      </c>
      <c r="D17" s="81">
        <v>280624.32999999996</v>
      </c>
      <c r="E17" s="81">
        <v>260541</v>
      </c>
      <c r="F17" s="81">
        <v>293241</v>
      </c>
    </row>
    <row r="18" spans="1:12" ht="19.5" thickBot="1" x14ac:dyDescent="0.35">
      <c r="A18" s="78" t="s">
        <v>309</v>
      </c>
      <c r="B18" s="78"/>
      <c r="C18" s="81">
        <v>147398.56</v>
      </c>
      <c r="D18" s="81">
        <v>103473.9</v>
      </c>
      <c r="E18" s="81">
        <v>25775</v>
      </c>
      <c r="F18" s="81">
        <v>165460</v>
      </c>
    </row>
    <row r="19" spans="1:12" ht="19.5" thickBot="1" x14ac:dyDescent="0.35">
      <c r="A19" s="79" t="s">
        <v>330</v>
      </c>
      <c r="B19" s="79"/>
      <c r="C19" s="75">
        <f>SUM(C4:C18)</f>
        <v>6466032.9099999992</v>
      </c>
      <c r="D19" s="75">
        <f>SUM(D4:D18)</f>
        <v>6744464.4700000007</v>
      </c>
      <c r="E19" s="75">
        <f>SUM(E4:E18)</f>
        <v>7778720.8799999999</v>
      </c>
      <c r="F19" s="75">
        <f>SUM(F4:F18)</f>
        <v>7884503.5</v>
      </c>
    </row>
    <row r="21" spans="1:12" ht="33.75" x14ac:dyDescent="0.5">
      <c r="A21" s="128" t="s">
        <v>312</v>
      </c>
      <c r="B21" s="128"/>
      <c r="C21" s="128"/>
      <c r="D21" s="128"/>
      <c r="E21" s="128"/>
      <c r="F21" s="128"/>
    </row>
    <row r="22" spans="1:12" ht="56.25" x14ac:dyDescent="0.3">
      <c r="C22" s="51" t="s">
        <v>6</v>
      </c>
      <c r="D22" s="51" t="s">
        <v>5</v>
      </c>
      <c r="E22" s="51" t="s">
        <v>310</v>
      </c>
      <c r="F22" s="51" t="s">
        <v>3</v>
      </c>
    </row>
    <row r="23" spans="1:12" x14ac:dyDescent="0.3">
      <c r="A23" s="129" t="s">
        <v>297</v>
      </c>
      <c r="B23" s="50" t="s">
        <v>7</v>
      </c>
      <c r="C23" s="80">
        <f>'Town Council'!C11</f>
        <v>107069.14</v>
      </c>
      <c r="D23" s="80">
        <f>'Town Council'!D11</f>
        <v>73405.579999999987</v>
      </c>
      <c r="E23" s="80">
        <f>'Town Council'!E11</f>
        <v>71842</v>
      </c>
      <c r="F23" s="80">
        <f>'Town Council'!F11</f>
        <v>21245</v>
      </c>
    </row>
    <row r="24" spans="1:12" x14ac:dyDescent="0.3">
      <c r="A24" s="129"/>
      <c r="B24" s="50" t="s">
        <v>32</v>
      </c>
      <c r="C24" s="80">
        <v>12526.529999999999</v>
      </c>
      <c r="D24" s="80">
        <v>10269.990000000002</v>
      </c>
      <c r="E24" s="80">
        <v>181500</v>
      </c>
      <c r="F24" s="80">
        <v>7000</v>
      </c>
    </row>
    <row r="25" spans="1:12" x14ac:dyDescent="0.3">
      <c r="A25" s="129"/>
      <c r="B25" s="50" t="s">
        <v>33</v>
      </c>
      <c r="C25" s="80">
        <v>0</v>
      </c>
      <c r="D25" s="80">
        <v>0</v>
      </c>
      <c r="E25" s="80">
        <v>0</v>
      </c>
      <c r="F25" s="80">
        <v>0</v>
      </c>
    </row>
    <row r="26" spans="1:12" x14ac:dyDescent="0.3">
      <c r="A26" s="129" t="s">
        <v>0</v>
      </c>
      <c r="B26" s="50" t="s">
        <v>7</v>
      </c>
      <c r="C26" s="80">
        <f>'Town Manager'!C12</f>
        <v>0</v>
      </c>
      <c r="D26" s="80">
        <f>'Town Manager'!D12</f>
        <v>0</v>
      </c>
      <c r="E26" s="80">
        <f>'Town Manager'!E12</f>
        <v>0</v>
      </c>
      <c r="F26" s="80">
        <f>'Town Manager'!F12</f>
        <v>188088</v>
      </c>
    </row>
    <row r="27" spans="1:12" x14ac:dyDescent="0.3">
      <c r="A27" s="129"/>
      <c r="B27" s="50" t="s">
        <v>32</v>
      </c>
      <c r="C27" s="80">
        <v>0</v>
      </c>
      <c r="D27" s="80">
        <v>0</v>
      </c>
      <c r="E27" s="80">
        <v>0</v>
      </c>
      <c r="F27" s="80">
        <v>12500</v>
      </c>
      <c r="J27" s="80">
        <f>F23+F26+F29+F32+F35+F38+F41+F44+F47+F50+F53+F56+F59+F62</f>
        <v>5486841</v>
      </c>
      <c r="L27" s="86">
        <f>J27*0.05</f>
        <v>274342.05</v>
      </c>
    </row>
    <row r="28" spans="1:12" x14ac:dyDescent="0.3">
      <c r="A28" s="129"/>
      <c r="B28" s="50" t="s">
        <v>33</v>
      </c>
      <c r="C28" s="80">
        <v>0</v>
      </c>
      <c r="D28" s="80">
        <v>0</v>
      </c>
      <c r="E28" s="80">
        <v>0</v>
      </c>
      <c r="F28" s="80">
        <v>0</v>
      </c>
      <c r="J28" s="86">
        <f>J27/1.05</f>
        <v>5225562.8571428573</v>
      </c>
    </row>
    <row r="29" spans="1:12" x14ac:dyDescent="0.3">
      <c r="A29" s="129" t="s">
        <v>17</v>
      </c>
      <c r="B29" s="50" t="s">
        <v>7</v>
      </c>
      <c r="C29" s="80">
        <f>Finance!C14</f>
        <v>591573.71</v>
      </c>
      <c r="D29" s="80">
        <f>Finance!D14</f>
        <v>622128.72</v>
      </c>
      <c r="E29" s="80">
        <f>Finance!E14</f>
        <v>686719</v>
      </c>
      <c r="F29" s="80">
        <f>Finance!F14</f>
        <v>670509</v>
      </c>
      <c r="J29" s="86">
        <f>J27-J28</f>
        <v>261278.14285714272</v>
      </c>
    </row>
    <row r="30" spans="1:12" x14ac:dyDescent="0.3">
      <c r="A30" s="129"/>
      <c r="B30" s="50" t="s">
        <v>32</v>
      </c>
      <c r="C30" s="80">
        <v>120382.47</v>
      </c>
      <c r="D30" s="80">
        <v>132941.19</v>
      </c>
      <c r="E30" s="80">
        <v>138469</v>
      </c>
      <c r="F30" s="80">
        <v>130819</v>
      </c>
    </row>
    <row r="31" spans="1:12" x14ac:dyDescent="0.3">
      <c r="A31" s="129"/>
      <c r="B31" s="50" t="s">
        <v>33</v>
      </c>
      <c r="C31" s="80">
        <v>29319</v>
      </c>
      <c r="D31" s="80">
        <v>76639.11</v>
      </c>
      <c r="E31" s="80">
        <v>0</v>
      </c>
      <c r="F31" s="80">
        <v>0</v>
      </c>
    </row>
    <row r="32" spans="1:12" x14ac:dyDescent="0.3">
      <c r="A32" s="129" t="s">
        <v>298</v>
      </c>
      <c r="B32" s="50" t="s">
        <v>7</v>
      </c>
      <c r="C32" s="80">
        <f>HR!C13</f>
        <v>0</v>
      </c>
      <c r="D32" s="80">
        <f>HR!D13</f>
        <v>0</v>
      </c>
      <c r="E32" s="80">
        <f>HR!E13</f>
        <v>0</v>
      </c>
      <c r="F32" s="80">
        <v>142679</v>
      </c>
    </row>
    <row r="33" spans="1:6" x14ac:dyDescent="0.3">
      <c r="A33" s="129"/>
      <c r="B33" s="50" t="s">
        <v>32</v>
      </c>
      <c r="C33" s="80">
        <v>0</v>
      </c>
      <c r="D33" s="80">
        <v>0</v>
      </c>
      <c r="E33" s="80">
        <v>0</v>
      </c>
      <c r="F33" s="80">
        <v>3750</v>
      </c>
    </row>
    <row r="34" spans="1:6" x14ac:dyDescent="0.3">
      <c r="A34" s="129"/>
      <c r="B34" s="50" t="s">
        <v>33</v>
      </c>
      <c r="C34" s="80">
        <v>0</v>
      </c>
      <c r="D34" s="80">
        <v>0</v>
      </c>
      <c r="E34" s="80">
        <v>0</v>
      </c>
      <c r="F34" s="80">
        <v>0</v>
      </c>
    </row>
    <row r="35" spans="1:6" x14ac:dyDescent="0.3">
      <c r="A35" s="129" t="s">
        <v>299</v>
      </c>
      <c r="B35" s="50" t="s">
        <v>7</v>
      </c>
      <c r="C35" s="80">
        <f>Legal!C9</f>
        <v>0</v>
      </c>
      <c r="D35" s="80">
        <f>Legal!D9</f>
        <v>0</v>
      </c>
      <c r="E35" s="80">
        <f>Legal!E9</f>
        <v>0</v>
      </c>
      <c r="F35" s="80">
        <f>Legal!F9</f>
        <v>65000</v>
      </c>
    </row>
    <row r="36" spans="1:6" x14ac:dyDescent="0.3">
      <c r="A36" s="129"/>
      <c r="B36" s="50" t="s">
        <v>32</v>
      </c>
      <c r="C36" s="80">
        <v>0</v>
      </c>
      <c r="D36" s="80">
        <v>0</v>
      </c>
      <c r="E36" s="80">
        <v>0</v>
      </c>
      <c r="F36" s="80">
        <v>2000</v>
      </c>
    </row>
    <row r="37" spans="1:6" x14ac:dyDescent="0.3">
      <c r="A37" s="129"/>
      <c r="B37" s="50" t="s">
        <v>33</v>
      </c>
      <c r="C37" s="80">
        <v>0</v>
      </c>
      <c r="D37" s="80">
        <v>0</v>
      </c>
      <c r="E37" s="80">
        <v>0</v>
      </c>
      <c r="F37" s="80">
        <v>0</v>
      </c>
    </row>
    <row r="38" spans="1:6" x14ac:dyDescent="0.3">
      <c r="A38" s="129" t="s">
        <v>300</v>
      </c>
      <c r="B38" s="50" t="s">
        <v>7</v>
      </c>
      <c r="C38" s="80">
        <f>IT!C9</f>
        <v>12255.25</v>
      </c>
      <c r="D38" s="80">
        <f>IT!D9</f>
        <v>19159.539999999997</v>
      </c>
      <c r="E38" s="80">
        <f>IT!E9</f>
        <v>23758</v>
      </c>
      <c r="F38" s="80">
        <f>IT!F9</f>
        <v>21175</v>
      </c>
    </row>
    <row r="39" spans="1:6" x14ac:dyDescent="0.3">
      <c r="A39" s="129"/>
      <c r="B39" s="50" t="s">
        <v>32</v>
      </c>
      <c r="C39" s="80">
        <v>89077.09</v>
      </c>
      <c r="D39" s="80">
        <v>111019.64</v>
      </c>
      <c r="E39" s="80">
        <v>169327</v>
      </c>
      <c r="F39" s="80">
        <v>96000</v>
      </c>
    </row>
    <row r="40" spans="1:6" x14ac:dyDescent="0.3">
      <c r="A40" s="129"/>
      <c r="B40" s="50" t="s">
        <v>33</v>
      </c>
      <c r="C40" s="80">
        <v>104013.69</v>
      </c>
      <c r="D40" s="80">
        <v>0</v>
      </c>
      <c r="E40" s="80">
        <v>0</v>
      </c>
      <c r="F40" s="80">
        <v>0</v>
      </c>
    </row>
    <row r="41" spans="1:6" x14ac:dyDescent="0.3">
      <c r="A41" s="129" t="s">
        <v>301</v>
      </c>
      <c r="B41" s="50" t="s">
        <v>7</v>
      </c>
      <c r="C41" s="80">
        <f>'Comm Dev'!C13</f>
        <v>46878.75</v>
      </c>
      <c r="D41" s="80">
        <f>'Comm Dev'!D13</f>
        <v>3.46</v>
      </c>
      <c r="E41" s="80">
        <f>'Comm Dev'!E13</f>
        <v>0</v>
      </c>
      <c r="F41" s="80">
        <f>'Comm Dev'!F13</f>
        <v>74485</v>
      </c>
    </row>
    <row r="42" spans="1:6" x14ac:dyDescent="0.3">
      <c r="A42" s="129"/>
      <c r="B42" s="50" t="s">
        <v>32</v>
      </c>
      <c r="C42" s="80">
        <v>1925.14</v>
      </c>
      <c r="D42" s="80">
        <v>68305.31</v>
      </c>
      <c r="E42" s="80">
        <v>700</v>
      </c>
      <c r="F42" s="80">
        <v>6200</v>
      </c>
    </row>
    <row r="43" spans="1:6" x14ac:dyDescent="0.3">
      <c r="A43" s="129"/>
      <c r="B43" s="50" t="s">
        <v>33</v>
      </c>
      <c r="C43" s="80">
        <v>0</v>
      </c>
      <c r="D43" s="80">
        <v>0</v>
      </c>
      <c r="E43" s="80">
        <v>0</v>
      </c>
      <c r="F43" s="80">
        <v>0</v>
      </c>
    </row>
    <row r="44" spans="1:6" x14ac:dyDescent="0.3">
      <c r="A44" s="129" t="s">
        <v>302</v>
      </c>
      <c r="B44" s="50" t="s">
        <v>7</v>
      </c>
      <c r="C44" s="80">
        <f>RPD!C13</f>
        <v>1613487.8199999998</v>
      </c>
      <c r="D44" s="80">
        <f>RPD!D13</f>
        <v>1659553.37</v>
      </c>
      <c r="E44" s="80">
        <f>RPD!E13</f>
        <v>1646392</v>
      </c>
      <c r="F44" s="80">
        <f>RPD!F13</f>
        <v>1780633</v>
      </c>
    </row>
    <row r="45" spans="1:6" x14ac:dyDescent="0.3">
      <c r="A45" s="129"/>
      <c r="B45" s="50" t="s">
        <v>32</v>
      </c>
      <c r="C45" s="80">
        <v>350730.56000000011</v>
      </c>
      <c r="D45" s="80">
        <v>380524.68000000005</v>
      </c>
      <c r="E45" s="80">
        <v>374674.88</v>
      </c>
      <c r="F45" s="80">
        <v>351327</v>
      </c>
    </row>
    <row r="46" spans="1:6" x14ac:dyDescent="0.3">
      <c r="A46" s="129"/>
      <c r="B46" s="50" t="s">
        <v>33</v>
      </c>
      <c r="C46" s="80">
        <v>74823.600000000006</v>
      </c>
      <c r="D46" s="80">
        <v>0</v>
      </c>
      <c r="E46" s="80">
        <v>0</v>
      </c>
      <c r="F46" s="80">
        <v>0</v>
      </c>
    </row>
    <row r="47" spans="1:6" x14ac:dyDescent="0.3">
      <c r="A47" s="129" t="s">
        <v>303</v>
      </c>
      <c r="B47" s="50" t="s">
        <v>7</v>
      </c>
      <c r="C47" s="80">
        <f>'Narc TF'!C6</f>
        <v>16754</v>
      </c>
      <c r="D47" s="80">
        <f>'Narc TF'!D6</f>
        <v>9403</v>
      </c>
      <c r="E47" s="80">
        <f>'Narc TF'!E6</f>
        <v>7464</v>
      </c>
      <c r="F47" s="80">
        <f>'Narc TF'!F6</f>
        <v>13839</v>
      </c>
    </row>
    <row r="48" spans="1:6" x14ac:dyDescent="0.3">
      <c r="A48" s="129"/>
      <c r="B48" s="50" t="s">
        <v>32</v>
      </c>
      <c r="C48" s="80">
        <v>151471.10999999999</v>
      </c>
      <c r="D48" s="80">
        <v>94541.450000000012</v>
      </c>
      <c r="E48" s="80">
        <v>136845</v>
      </c>
      <c r="F48" s="80">
        <v>136845</v>
      </c>
    </row>
    <row r="49" spans="1:6" x14ac:dyDescent="0.3">
      <c r="A49" s="129"/>
      <c r="B49" s="50" t="s">
        <v>33</v>
      </c>
      <c r="C49" s="80">
        <v>21926</v>
      </c>
      <c r="D49" s="80">
        <v>0</v>
      </c>
      <c r="E49" s="80">
        <v>0</v>
      </c>
      <c r="F49" s="80">
        <v>0</v>
      </c>
    </row>
    <row r="50" spans="1:6" x14ac:dyDescent="0.3">
      <c r="A50" s="129" t="s">
        <v>304</v>
      </c>
      <c r="B50" s="50" t="s">
        <v>7</v>
      </c>
      <c r="C50" s="80">
        <f>RFD!C12</f>
        <v>66170.259999999995</v>
      </c>
      <c r="D50" s="80">
        <f>RFD!D12</f>
        <v>62989.130000000005</v>
      </c>
      <c r="E50" s="80">
        <f>RFD!E12</f>
        <v>93815</v>
      </c>
      <c r="F50" s="80">
        <f>RFD!F12</f>
        <v>124425</v>
      </c>
    </row>
    <row r="51" spans="1:6" x14ac:dyDescent="0.3">
      <c r="A51" s="129"/>
      <c r="B51" s="50" t="s">
        <v>32</v>
      </c>
      <c r="C51" s="80">
        <v>165146.68000000002</v>
      </c>
      <c r="D51" s="80">
        <v>198627.38999999996</v>
      </c>
      <c r="E51" s="80">
        <v>171319</v>
      </c>
      <c r="F51" s="80">
        <v>160219</v>
      </c>
    </row>
    <row r="52" spans="1:6" x14ac:dyDescent="0.3">
      <c r="A52" s="129"/>
      <c r="B52" s="50" t="s">
        <v>33</v>
      </c>
      <c r="C52" s="80">
        <v>0</v>
      </c>
      <c r="D52" s="80">
        <v>6762.8</v>
      </c>
      <c r="E52" s="80">
        <v>0</v>
      </c>
      <c r="F52" s="80">
        <v>0</v>
      </c>
    </row>
    <row r="53" spans="1:6" x14ac:dyDescent="0.3">
      <c r="A53" s="129" t="s">
        <v>305</v>
      </c>
      <c r="B53" s="50" t="s">
        <v>7</v>
      </c>
      <c r="C53" s="80">
        <f>Rescue!C13</f>
        <v>643436.18000000005</v>
      </c>
      <c r="D53" s="80">
        <f>Rescue!D13</f>
        <v>698440.48999999987</v>
      </c>
      <c r="E53" s="80">
        <f>Rescue!E13</f>
        <v>674520</v>
      </c>
      <c r="F53" s="80">
        <f>Rescue!F13</f>
        <v>761228</v>
      </c>
    </row>
    <row r="54" spans="1:6" x14ac:dyDescent="0.3">
      <c r="A54" s="129"/>
      <c r="B54" s="50" t="s">
        <v>32</v>
      </c>
      <c r="C54" s="80">
        <v>195992.71000000002</v>
      </c>
      <c r="D54" s="80">
        <v>191738.96000000005</v>
      </c>
      <c r="E54" s="80">
        <v>155200</v>
      </c>
      <c r="F54" s="80">
        <v>162300</v>
      </c>
    </row>
    <row r="55" spans="1:6" x14ac:dyDescent="0.3">
      <c r="A55" s="129"/>
      <c r="B55" s="50" t="s">
        <v>33</v>
      </c>
      <c r="C55" s="80">
        <v>122520.82</v>
      </c>
      <c r="D55" s="80">
        <v>52050.36</v>
      </c>
      <c r="E55" s="80">
        <v>14000</v>
      </c>
      <c r="F55" s="80">
        <v>36000</v>
      </c>
    </row>
    <row r="56" spans="1:6" x14ac:dyDescent="0.3">
      <c r="A56" s="129" t="s">
        <v>306</v>
      </c>
      <c r="B56" s="50" t="s">
        <v>7</v>
      </c>
      <c r="C56" s="80">
        <f>Streets!C13</f>
        <v>639688.14999999991</v>
      </c>
      <c r="D56" s="80">
        <f>Streets!D13</f>
        <v>614717.06000000006</v>
      </c>
      <c r="E56" s="80">
        <f>Streets!E13</f>
        <v>727057</v>
      </c>
      <c r="F56" s="80">
        <f>Streets!F13</f>
        <v>1043006</v>
      </c>
    </row>
    <row r="57" spans="1:6" x14ac:dyDescent="0.3">
      <c r="A57" s="129"/>
      <c r="B57" s="50" t="s">
        <v>32</v>
      </c>
      <c r="C57" s="80">
        <v>382044.6</v>
      </c>
      <c r="D57" s="80">
        <v>414117.14999999997</v>
      </c>
      <c r="E57" s="80">
        <v>365650</v>
      </c>
      <c r="F57" s="80">
        <v>363150</v>
      </c>
    </row>
    <row r="58" spans="1:6" ht="18.75" customHeight="1" x14ac:dyDescent="0.3">
      <c r="A58" s="129"/>
      <c r="B58" s="50" t="s">
        <v>33</v>
      </c>
      <c r="C58" s="80">
        <v>4766.66</v>
      </c>
      <c r="D58" s="80">
        <v>373066.96</v>
      </c>
      <c r="E58" s="80">
        <v>1000000</v>
      </c>
      <c r="F58" s="80">
        <v>479314</v>
      </c>
    </row>
    <row r="59" spans="1:6" ht="19.5" customHeight="1" x14ac:dyDescent="0.3">
      <c r="A59" s="129" t="s">
        <v>307</v>
      </c>
      <c r="B59" s="50" t="s">
        <v>7</v>
      </c>
      <c r="C59" s="80">
        <f>Sanitation!C13</f>
        <v>411436.87</v>
      </c>
      <c r="D59" s="80">
        <f>Sanitation!D13</f>
        <v>348579.63000000006</v>
      </c>
      <c r="E59" s="80">
        <f>Sanitation!E13</f>
        <v>348925.53</v>
      </c>
      <c r="F59" s="80">
        <f>Sanitation!F13</f>
        <v>381888</v>
      </c>
    </row>
    <row r="60" spans="1:6" x14ac:dyDescent="0.3">
      <c r="A60" s="129"/>
      <c r="B60" s="50" t="s">
        <v>32</v>
      </c>
      <c r="C60" s="80">
        <v>99367.73</v>
      </c>
      <c r="D60" s="80">
        <v>141381.26999999999</v>
      </c>
      <c r="E60" s="80">
        <v>89600</v>
      </c>
      <c r="F60" s="80">
        <v>126600</v>
      </c>
    </row>
    <row r="61" spans="1:6" x14ac:dyDescent="0.3">
      <c r="A61" s="129"/>
      <c r="B61" s="50" t="s">
        <v>33</v>
      </c>
      <c r="C61" s="80">
        <v>0</v>
      </c>
      <c r="D61" s="80">
        <v>0</v>
      </c>
      <c r="E61" s="80">
        <v>0</v>
      </c>
      <c r="F61" s="80">
        <v>50000</v>
      </c>
    </row>
    <row r="62" spans="1:6" x14ac:dyDescent="0.3">
      <c r="A62" s="129" t="s">
        <v>308</v>
      </c>
      <c r="B62" s="50" t="s">
        <v>7</v>
      </c>
      <c r="C62" s="80">
        <f>Parks!C13</f>
        <v>123193.17</v>
      </c>
      <c r="D62" s="80">
        <f>Parks!D13</f>
        <v>136497.95000000001</v>
      </c>
      <c r="E62" s="80">
        <f>Parks!E13</f>
        <v>147298.84000000003</v>
      </c>
      <c r="F62" s="80">
        <f>Parks!F13</f>
        <v>198641</v>
      </c>
    </row>
    <row r="63" spans="1:6" x14ac:dyDescent="0.3">
      <c r="A63" s="129"/>
      <c r="B63" s="50" t="s">
        <v>32</v>
      </c>
      <c r="C63" s="80">
        <v>120656.65999999999</v>
      </c>
      <c r="D63" s="80">
        <v>144126.37999999998</v>
      </c>
      <c r="E63" s="80">
        <v>94540</v>
      </c>
      <c r="F63" s="80">
        <v>54600</v>
      </c>
    </row>
    <row r="64" spans="1:6" x14ac:dyDescent="0.3">
      <c r="A64" s="129"/>
      <c r="B64" s="50" t="s">
        <v>33</v>
      </c>
      <c r="C64" s="80">
        <v>0</v>
      </c>
      <c r="D64" s="80">
        <v>0</v>
      </c>
      <c r="E64" s="80">
        <v>0</v>
      </c>
      <c r="F64" s="80">
        <v>40000</v>
      </c>
    </row>
    <row r="65" spans="1:6" x14ac:dyDescent="0.3">
      <c r="A65" s="129" t="s">
        <v>309</v>
      </c>
      <c r="B65" s="50" t="s">
        <v>7</v>
      </c>
      <c r="C65" s="80">
        <v>0</v>
      </c>
      <c r="D65" s="80">
        <v>0</v>
      </c>
      <c r="E65" s="80">
        <v>0</v>
      </c>
      <c r="F65" s="80">
        <v>0</v>
      </c>
    </row>
    <row r="66" spans="1:6" x14ac:dyDescent="0.3">
      <c r="A66" s="129"/>
      <c r="B66" s="50" t="s">
        <v>32</v>
      </c>
      <c r="C66" s="80">
        <v>31928.890000000003</v>
      </c>
      <c r="D66" s="80">
        <v>103473.9</v>
      </c>
      <c r="E66" s="80">
        <v>25775</v>
      </c>
      <c r="F66" s="80">
        <v>165460</v>
      </c>
    </row>
    <row r="67" spans="1:6" x14ac:dyDescent="0.3">
      <c r="A67" s="129"/>
      <c r="B67" s="50" t="s">
        <v>33</v>
      </c>
      <c r="C67" s="80">
        <v>115469.67</v>
      </c>
      <c r="D67" s="80">
        <v>0</v>
      </c>
      <c r="E67" s="80">
        <v>0</v>
      </c>
      <c r="F67" s="80">
        <v>0</v>
      </c>
    </row>
    <row r="68" spans="1:6" x14ac:dyDescent="0.3">
      <c r="C68" s="52">
        <f>SUM(C23:C67)</f>
        <v>6466032.9100000001</v>
      </c>
      <c r="D68" s="52">
        <f>SUM(D23:D67)</f>
        <v>6744464.4700000007</v>
      </c>
      <c r="E68" s="52">
        <f>SUM(E23:E67)</f>
        <v>7345391.25</v>
      </c>
      <c r="F68" s="52">
        <f>SUM(F23:F67)</f>
        <v>7870925</v>
      </c>
    </row>
    <row r="73" spans="1:6" ht="33.75" x14ac:dyDescent="0.5">
      <c r="A73" s="128" t="s">
        <v>313</v>
      </c>
      <c r="B73" s="128"/>
      <c r="C73" s="128"/>
      <c r="D73" s="128"/>
      <c r="E73" s="128"/>
      <c r="F73" s="128"/>
    </row>
    <row r="74" spans="1:6" ht="56.25" x14ac:dyDescent="0.3">
      <c r="C74" s="51" t="s">
        <v>6</v>
      </c>
      <c r="D74" s="51" t="s">
        <v>5</v>
      </c>
      <c r="E74" s="51" t="s">
        <v>310</v>
      </c>
      <c r="F74" s="51" t="s">
        <v>3</v>
      </c>
    </row>
    <row r="75" spans="1:6" x14ac:dyDescent="0.3">
      <c r="A75" s="50" t="s">
        <v>297</v>
      </c>
      <c r="C75" s="52">
        <v>12526.529999999999</v>
      </c>
      <c r="D75" s="52">
        <v>10269.990000000002</v>
      </c>
      <c r="E75" s="52">
        <v>181500</v>
      </c>
      <c r="F75" s="52">
        <v>7000</v>
      </c>
    </row>
    <row r="76" spans="1:6" x14ac:dyDescent="0.3">
      <c r="A76" s="50" t="s">
        <v>0</v>
      </c>
      <c r="C76" s="52">
        <v>0</v>
      </c>
      <c r="D76" s="52">
        <v>0</v>
      </c>
      <c r="E76" s="52">
        <v>0</v>
      </c>
      <c r="F76" s="52">
        <v>12500</v>
      </c>
    </row>
    <row r="77" spans="1:6" x14ac:dyDescent="0.3">
      <c r="A77" s="50" t="s">
        <v>17</v>
      </c>
      <c r="C77" s="52">
        <v>120382.47</v>
      </c>
      <c r="D77" s="52">
        <v>132941.19</v>
      </c>
      <c r="E77" s="52">
        <v>138469</v>
      </c>
      <c r="F77" s="52">
        <v>130819</v>
      </c>
    </row>
    <row r="78" spans="1:6" x14ac:dyDescent="0.3">
      <c r="A78" s="50" t="s">
        <v>298</v>
      </c>
      <c r="C78" s="52">
        <v>0</v>
      </c>
      <c r="D78" s="52">
        <v>0</v>
      </c>
      <c r="E78" s="52">
        <v>0</v>
      </c>
      <c r="F78" s="52">
        <v>3750</v>
      </c>
    </row>
    <row r="79" spans="1:6" x14ac:dyDescent="0.3">
      <c r="A79" s="50" t="s">
        <v>299</v>
      </c>
      <c r="C79" s="52">
        <v>0</v>
      </c>
      <c r="D79" s="52">
        <v>0</v>
      </c>
      <c r="E79" s="52">
        <v>0</v>
      </c>
      <c r="F79" s="52">
        <v>2000</v>
      </c>
    </row>
    <row r="80" spans="1:6" x14ac:dyDescent="0.3">
      <c r="A80" s="50" t="s">
        <v>300</v>
      </c>
      <c r="C80" s="52">
        <v>89077.09</v>
      </c>
      <c r="D80" s="52">
        <v>111019.64</v>
      </c>
      <c r="E80" s="52">
        <v>169327</v>
      </c>
      <c r="F80" s="52">
        <v>96000</v>
      </c>
    </row>
    <row r="81" spans="1:6" x14ac:dyDescent="0.3">
      <c r="A81" s="50" t="s">
        <v>301</v>
      </c>
      <c r="C81" s="52">
        <v>1925.14</v>
      </c>
      <c r="D81" s="52">
        <v>68305.31</v>
      </c>
      <c r="E81" s="52">
        <v>700</v>
      </c>
      <c r="F81" s="52">
        <v>6200</v>
      </c>
    </row>
    <row r="82" spans="1:6" x14ac:dyDescent="0.3">
      <c r="A82" s="50" t="s">
        <v>302</v>
      </c>
      <c r="C82" s="52">
        <v>350730.56000000011</v>
      </c>
      <c r="D82" s="52">
        <v>380524.68000000005</v>
      </c>
      <c r="E82" s="52">
        <v>374674.88</v>
      </c>
      <c r="F82" s="52">
        <v>351327</v>
      </c>
    </row>
    <row r="83" spans="1:6" x14ac:dyDescent="0.3">
      <c r="A83" s="50" t="s">
        <v>303</v>
      </c>
      <c r="C83" s="52">
        <v>151471.10999999999</v>
      </c>
      <c r="D83" s="52">
        <v>94541.450000000012</v>
      </c>
      <c r="E83" s="52">
        <v>136845</v>
      </c>
      <c r="F83" s="52">
        <v>136845</v>
      </c>
    </row>
    <row r="84" spans="1:6" x14ac:dyDescent="0.3">
      <c r="A84" s="50" t="s">
        <v>304</v>
      </c>
      <c r="C84" s="52">
        <v>165146.68000000002</v>
      </c>
      <c r="D84" s="52">
        <v>198627.38999999996</v>
      </c>
      <c r="E84" s="52">
        <v>171319</v>
      </c>
      <c r="F84" s="52">
        <v>160219</v>
      </c>
    </row>
    <row r="85" spans="1:6" x14ac:dyDescent="0.3">
      <c r="A85" s="50" t="s">
        <v>305</v>
      </c>
      <c r="C85" s="52">
        <v>195992.71000000002</v>
      </c>
      <c r="D85" s="52">
        <v>191738.96000000005</v>
      </c>
      <c r="E85" s="52">
        <v>155200</v>
      </c>
      <c r="F85" s="52">
        <v>162300</v>
      </c>
    </row>
    <row r="86" spans="1:6" x14ac:dyDescent="0.3">
      <c r="A86" s="50" t="s">
        <v>306</v>
      </c>
      <c r="C86" s="52">
        <v>382044.6</v>
      </c>
      <c r="D86" s="52">
        <v>414117.14999999997</v>
      </c>
      <c r="E86" s="52">
        <v>365650</v>
      </c>
      <c r="F86" s="52">
        <v>363150</v>
      </c>
    </row>
    <row r="87" spans="1:6" x14ac:dyDescent="0.3">
      <c r="A87" s="50" t="s">
        <v>307</v>
      </c>
      <c r="C87" s="52">
        <v>99367.73</v>
      </c>
      <c r="D87" s="52">
        <v>141381.26999999999</v>
      </c>
      <c r="E87" s="52">
        <v>89600</v>
      </c>
      <c r="F87" s="52">
        <v>126600</v>
      </c>
    </row>
    <row r="88" spans="1:6" x14ac:dyDescent="0.3">
      <c r="A88" s="50" t="s">
        <v>308</v>
      </c>
      <c r="C88" s="52">
        <v>120656.65999999999</v>
      </c>
      <c r="D88" s="52">
        <v>144126.37999999998</v>
      </c>
      <c r="E88" s="52">
        <v>94540</v>
      </c>
      <c r="F88" s="52">
        <v>54600</v>
      </c>
    </row>
    <row r="89" spans="1:6" x14ac:dyDescent="0.3">
      <c r="A89" s="50" t="s">
        <v>309</v>
      </c>
      <c r="C89" s="52">
        <v>31928.890000000003</v>
      </c>
      <c r="D89" s="52">
        <v>103473.9</v>
      </c>
      <c r="E89" s="52">
        <v>25775</v>
      </c>
      <c r="F89" s="52">
        <v>165460</v>
      </c>
    </row>
    <row r="90" spans="1:6" x14ac:dyDescent="0.3">
      <c r="C90" s="52">
        <v>1721250.17</v>
      </c>
      <c r="D90" s="52">
        <v>1991067.3099999996</v>
      </c>
      <c r="E90" s="52">
        <v>1903599.88</v>
      </c>
      <c r="F90" s="52">
        <v>1778770</v>
      </c>
    </row>
    <row r="94" spans="1:6" ht="33.75" x14ac:dyDescent="0.5">
      <c r="A94" s="128" t="s">
        <v>314</v>
      </c>
      <c r="B94" s="128"/>
      <c r="C94" s="128"/>
      <c r="D94" s="128"/>
      <c r="E94" s="128"/>
      <c r="F94" s="128"/>
    </row>
    <row r="95" spans="1:6" ht="56.25" x14ac:dyDescent="0.3">
      <c r="C95" s="51" t="s">
        <v>6</v>
      </c>
      <c r="D95" s="51" t="s">
        <v>5</v>
      </c>
      <c r="E95" s="51" t="s">
        <v>310</v>
      </c>
      <c r="F95" s="51" t="s">
        <v>3</v>
      </c>
    </row>
    <row r="96" spans="1:6" x14ac:dyDescent="0.3">
      <c r="A96" s="50" t="s">
        <v>297</v>
      </c>
      <c r="C96" s="52">
        <v>0</v>
      </c>
      <c r="D96" s="52">
        <v>0</v>
      </c>
      <c r="E96" s="52">
        <v>0</v>
      </c>
      <c r="F96" s="52">
        <v>0</v>
      </c>
    </row>
    <row r="97" spans="1:6" x14ac:dyDescent="0.3">
      <c r="A97" s="50" t="s">
        <v>0</v>
      </c>
      <c r="C97" s="52">
        <v>0</v>
      </c>
      <c r="D97" s="52">
        <v>0</v>
      </c>
      <c r="E97" s="52">
        <v>0</v>
      </c>
      <c r="F97" s="52">
        <v>0</v>
      </c>
    </row>
    <row r="98" spans="1:6" x14ac:dyDescent="0.3">
      <c r="A98" s="50" t="s">
        <v>17</v>
      </c>
      <c r="C98" s="52">
        <v>29319</v>
      </c>
      <c r="D98" s="52">
        <v>76639.11</v>
      </c>
      <c r="E98" s="52">
        <v>0</v>
      </c>
      <c r="F98" s="52">
        <v>0</v>
      </c>
    </row>
    <row r="99" spans="1:6" x14ac:dyDescent="0.3">
      <c r="A99" s="50" t="s">
        <v>298</v>
      </c>
      <c r="C99" s="52">
        <v>0</v>
      </c>
      <c r="D99" s="52">
        <v>0</v>
      </c>
      <c r="E99" s="52">
        <v>0</v>
      </c>
      <c r="F99" s="52">
        <v>0</v>
      </c>
    </row>
    <row r="100" spans="1:6" x14ac:dyDescent="0.3">
      <c r="A100" s="50" t="s">
        <v>299</v>
      </c>
      <c r="C100" s="52">
        <v>0</v>
      </c>
      <c r="D100" s="52">
        <v>0</v>
      </c>
      <c r="E100" s="52">
        <v>0</v>
      </c>
      <c r="F100" s="52">
        <v>0</v>
      </c>
    </row>
    <row r="101" spans="1:6" x14ac:dyDescent="0.3">
      <c r="A101" s="50" t="s">
        <v>300</v>
      </c>
      <c r="C101" s="52">
        <v>104013.69</v>
      </c>
      <c r="D101" s="52">
        <v>0</v>
      </c>
      <c r="E101" s="52">
        <v>0</v>
      </c>
      <c r="F101" s="52">
        <v>0</v>
      </c>
    </row>
    <row r="102" spans="1:6" x14ac:dyDescent="0.3">
      <c r="A102" s="50" t="s">
        <v>301</v>
      </c>
      <c r="C102" s="52">
        <v>0</v>
      </c>
      <c r="D102" s="52">
        <v>0</v>
      </c>
      <c r="E102" s="52">
        <v>0</v>
      </c>
      <c r="F102" s="52">
        <v>0</v>
      </c>
    </row>
    <row r="103" spans="1:6" x14ac:dyDescent="0.3">
      <c r="A103" s="50" t="s">
        <v>302</v>
      </c>
      <c r="C103" s="52">
        <v>74823.600000000006</v>
      </c>
      <c r="D103" s="52">
        <v>0</v>
      </c>
      <c r="E103" s="52">
        <v>0</v>
      </c>
      <c r="F103" s="52">
        <v>0</v>
      </c>
    </row>
    <row r="104" spans="1:6" x14ac:dyDescent="0.3">
      <c r="A104" s="50" t="s">
        <v>303</v>
      </c>
      <c r="C104" s="52">
        <v>21926</v>
      </c>
      <c r="D104" s="52">
        <v>0</v>
      </c>
      <c r="E104" s="52">
        <v>0</v>
      </c>
      <c r="F104" s="52">
        <v>0</v>
      </c>
    </row>
    <row r="105" spans="1:6" x14ac:dyDescent="0.3">
      <c r="A105" s="50" t="s">
        <v>304</v>
      </c>
      <c r="C105" s="52">
        <v>0</v>
      </c>
      <c r="D105" s="52">
        <v>6762.8</v>
      </c>
      <c r="E105" s="52">
        <v>0</v>
      </c>
      <c r="F105" s="52">
        <v>0</v>
      </c>
    </row>
    <row r="106" spans="1:6" x14ac:dyDescent="0.3">
      <c r="A106" s="50" t="s">
        <v>305</v>
      </c>
      <c r="C106" s="52">
        <v>122520.82</v>
      </c>
      <c r="D106" s="52">
        <v>52050.36</v>
      </c>
      <c r="E106" s="52">
        <v>14000</v>
      </c>
      <c r="F106" s="52">
        <v>36000</v>
      </c>
    </row>
    <row r="107" spans="1:6" x14ac:dyDescent="0.3">
      <c r="A107" s="50" t="s">
        <v>306</v>
      </c>
      <c r="C107" s="52">
        <v>4766.66</v>
      </c>
      <c r="D107" s="52">
        <v>373066.96</v>
      </c>
      <c r="E107" s="52">
        <v>1000000</v>
      </c>
      <c r="F107" s="52">
        <v>479314</v>
      </c>
    </row>
    <row r="108" spans="1:6" x14ac:dyDescent="0.3">
      <c r="A108" s="50" t="s">
        <v>307</v>
      </c>
      <c r="C108" s="52">
        <v>0</v>
      </c>
      <c r="D108" s="52">
        <v>0</v>
      </c>
      <c r="E108" s="52">
        <v>0</v>
      </c>
      <c r="F108" s="52">
        <v>50000</v>
      </c>
    </row>
    <row r="109" spans="1:6" x14ac:dyDescent="0.3">
      <c r="A109" s="50" t="s">
        <v>308</v>
      </c>
      <c r="C109" s="52">
        <v>0</v>
      </c>
      <c r="D109" s="52">
        <v>0</v>
      </c>
      <c r="E109" s="52">
        <v>0</v>
      </c>
      <c r="F109" s="52">
        <v>40000</v>
      </c>
    </row>
    <row r="110" spans="1:6" x14ac:dyDescent="0.3">
      <c r="A110" s="50" t="s">
        <v>309</v>
      </c>
      <c r="C110" s="52">
        <v>115469.67</v>
      </c>
      <c r="D110" s="52">
        <v>0</v>
      </c>
      <c r="E110" s="52">
        <v>0</v>
      </c>
      <c r="F110" s="52">
        <v>0</v>
      </c>
    </row>
    <row r="111" spans="1:6" x14ac:dyDescent="0.3">
      <c r="C111" s="52">
        <v>472839.43999999994</v>
      </c>
      <c r="D111" s="52">
        <v>508519.23000000004</v>
      </c>
      <c r="E111" s="52">
        <v>1014000</v>
      </c>
      <c r="F111" s="52">
        <v>605314</v>
      </c>
    </row>
    <row r="114" spans="3:6" x14ac:dyDescent="0.3">
      <c r="C114" s="52">
        <f>C111+C90+C68</f>
        <v>8660122.5199999996</v>
      </c>
      <c r="D114" s="52">
        <f>D111+D90+D68</f>
        <v>9244051.0099999998</v>
      </c>
      <c r="E114" s="52">
        <f>E111+E90+E68</f>
        <v>10262991.129999999</v>
      </c>
      <c r="F114" s="52">
        <f>F111+F90+F68</f>
        <v>10255009</v>
      </c>
    </row>
    <row r="115" spans="3:6" x14ac:dyDescent="0.3">
      <c r="C115" s="52">
        <f>'Balancing Sheet'!C3-'GF Expenses'!C114</f>
        <v>-2095213.6100000003</v>
      </c>
    </row>
  </sheetData>
  <mergeCells count="19">
    <mergeCell ref="A62:A64"/>
    <mergeCell ref="A2:F2"/>
    <mergeCell ref="A21:F21"/>
    <mergeCell ref="A73:F73"/>
    <mergeCell ref="A94:F94"/>
    <mergeCell ref="A65:A67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3C17-DB56-4F42-87DE-9D81D000F720}">
  <sheetPr>
    <pageSetUpPr fitToPage="1"/>
  </sheetPr>
  <dimension ref="A1:J55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8" width="30.42578125" style="2" customWidth="1"/>
    <col min="9" max="9" width="9.85546875" style="2" bestFit="1" customWidth="1"/>
    <col min="10" max="10" width="16" style="2" bestFit="1" customWidth="1"/>
    <col min="11" max="11" width="9.85546875" style="2" bestFit="1" customWidth="1"/>
    <col min="12" max="16384" width="9.140625" style="2"/>
  </cols>
  <sheetData>
    <row r="1" spans="1:9" ht="34.5" x14ac:dyDescent="0.45">
      <c r="A1" s="144" t="s">
        <v>26</v>
      </c>
      <c r="B1" s="144"/>
      <c r="C1" s="144"/>
      <c r="D1" s="144"/>
      <c r="E1" s="144"/>
      <c r="F1" s="144"/>
      <c r="G1" s="144"/>
    </row>
    <row r="2" spans="1:9" x14ac:dyDescent="0.2">
      <c r="A2" s="145"/>
      <c r="B2" s="145"/>
      <c r="C2" s="145"/>
      <c r="D2" s="145"/>
      <c r="E2" s="145"/>
      <c r="F2" s="145"/>
    </row>
    <row r="3" spans="1:9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9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9" ht="62.25" customHeight="1" x14ac:dyDescent="0.25">
      <c r="A5" s="3">
        <v>500000</v>
      </c>
      <c r="B5" s="4" t="s">
        <v>119</v>
      </c>
      <c r="C5" s="36">
        <v>374532.24</v>
      </c>
      <c r="D5" s="36">
        <v>334610.59999999998</v>
      </c>
      <c r="E5" s="36">
        <v>452162</v>
      </c>
      <c r="F5" s="36">
        <v>612906</v>
      </c>
      <c r="G5" s="36">
        <f>639146+1*1040*14</f>
        <v>653706</v>
      </c>
      <c r="H5" s="115" t="s">
        <v>437</v>
      </c>
    </row>
    <row r="6" spans="1:9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36">
        <v>0</v>
      </c>
    </row>
    <row r="7" spans="1:9" ht="15.75" x14ac:dyDescent="0.25">
      <c r="A7" s="3">
        <v>501000</v>
      </c>
      <c r="B7" s="4" t="s">
        <v>122</v>
      </c>
      <c r="C7" s="6">
        <v>26459.43</v>
      </c>
      <c r="D7" s="6">
        <v>23863.07</v>
      </c>
      <c r="E7" s="6">
        <v>32477</v>
      </c>
      <c r="F7" s="6">
        <v>46900</v>
      </c>
      <c r="G7" s="6">
        <v>50025</v>
      </c>
    </row>
    <row r="8" spans="1:9" ht="15.75" x14ac:dyDescent="0.25">
      <c r="A8" s="3">
        <v>501100</v>
      </c>
      <c r="B8" s="4" t="s">
        <v>123</v>
      </c>
      <c r="C8" s="6">
        <v>143354.5</v>
      </c>
      <c r="D8" s="6">
        <v>163825</v>
      </c>
      <c r="E8" s="6">
        <v>161937</v>
      </c>
      <c r="F8" s="6">
        <v>210000</v>
      </c>
      <c r="G8" s="6">
        <f>174550*1.103</f>
        <v>192528.65</v>
      </c>
      <c r="H8" s="2" t="s">
        <v>381</v>
      </c>
    </row>
    <row r="9" spans="1:9" ht="15.75" x14ac:dyDescent="0.25">
      <c r="A9" s="3">
        <v>501150</v>
      </c>
      <c r="B9" s="4" t="s">
        <v>129</v>
      </c>
      <c r="C9" s="6">
        <v>2223.84</v>
      </c>
      <c r="D9" s="6">
        <v>2169.0700000000002</v>
      </c>
      <c r="E9" s="6">
        <v>2056</v>
      </c>
      <c r="F9" s="6">
        <v>2200</v>
      </c>
      <c r="G9" s="6">
        <f>3823*1.103</f>
        <v>4216.7690000000002</v>
      </c>
      <c r="H9" s="2" t="s">
        <v>381</v>
      </c>
    </row>
    <row r="10" spans="1:9" ht="15.75" x14ac:dyDescent="0.25">
      <c r="A10" s="3">
        <v>501200</v>
      </c>
      <c r="B10" s="4" t="s">
        <v>130</v>
      </c>
      <c r="C10" s="6">
        <v>69240.81</v>
      </c>
      <c r="D10" s="6">
        <v>68108.289999999994</v>
      </c>
      <c r="E10" s="6">
        <v>63914</v>
      </c>
      <c r="F10" s="6">
        <v>145000</v>
      </c>
      <c r="G10" s="6">
        <v>159300</v>
      </c>
      <c r="H10" s="2" t="s">
        <v>382</v>
      </c>
    </row>
    <row r="11" spans="1:9" ht="15.75" x14ac:dyDescent="0.25">
      <c r="A11" s="3">
        <v>501225</v>
      </c>
      <c r="B11" s="4" t="s">
        <v>131</v>
      </c>
      <c r="C11" s="6">
        <v>4375.93</v>
      </c>
      <c r="D11" s="6">
        <v>1613.03</v>
      </c>
      <c r="E11" s="6">
        <v>1541</v>
      </c>
      <c r="F11" s="6">
        <v>2000</v>
      </c>
      <c r="G11" s="6">
        <v>3000</v>
      </c>
    </row>
    <row r="12" spans="1:9" ht="16.5" thickBot="1" x14ac:dyDescent="0.3">
      <c r="A12" s="3">
        <v>501250</v>
      </c>
      <c r="B12" s="4" t="s">
        <v>124</v>
      </c>
      <c r="C12" s="6">
        <v>19501.400000000001</v>
      </c>
      <c r="D12" s="6">
        <v>20528</v>
      </c>
      <c r="E12" s="6">
        <v>12970</v>
      </c>
      <c r="F12" s="6">
        <v>24000</v>
      </c>
      <c r="G12" s="6">
        <v>24000</v>
      </c>
      <c r="I12" s="2" t="s">
        <v>215</v>
      </c>
    </row>
    <row r="13" spans="1:9" ht="16.5" thickBot="1" x14ac:dyDescent="0.3">
      <c r="A13" s="7" t="s">
        <v>10</v>
      </c>
      <c r="B13" s="8"/>
      <c r="C13" s="30">
        <f>SUM(C5:C12)</f>
        <v>639688.14999999991</v>
      </c>
      <c r="D13" s="30">
        <f>SUM(D5:D12)</f>
        <v>614717.06000000006</v>
      </c>
      <c r="E13" s="30">
        <f>SUM(E5:E12)</f>
        <v>727057</v>
      </c>
      <c r="F13" s="30">
        <f>SUM(F5:F12)</f>
        <v>1043006</v>
      </c>
      <c r="G13" s="30">
        <f>SUM(G5:G12)</f>
        <v>1086776.419</v>
      </c>
    </row>
    <row r="15" spans="1:9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9" ht="56.25" x14ac:dyDescent="0.2">
      <c r="A16" s="5" t="s">
        <v>1</v>
      </c>
      <c r="B16" s="5" t="s">
        <v>2</v>
      </c>
      <c r="C16" s="77" t="s">
        <v>6</v>
      </c>
      <c r="D16" s="77" t="s">
        <v>5</v>
      </c>
      <c r="E16" s="77" t="s">
        <v>350</v>
      </c>
      <c r="F16" s="77" t="s">
        <v>349</v>
      </c>
      <c r="G16" s="77" t="s">
        <v>348</v>
      </c>
    </row>
    <row r="17" spans="1:8" ht="15.75" x14ac:dyDescent="0.25">
      <c r="A17" s="3">
        <v>501300</v>
      </c>
      <c r="B17" s="4" t="s">
        <v>132</v>
      </c>
      <c r="C17" s="36">
        <v>3800.6</v>
      </c>
      <c r="D17" s="36">
        <v>3939.96</v>
      </c>
      <c r="E17" s="36">
        <v>4139.6000000000004</v>
      </c>
      <c r="F17" s="36">
        <v>3800</v>
      </c>
      <c r="G17" s="36">
        <v>4500</v>
      </c>
    </row>
    <row r="18" spans="1:8" ht="15.75" x14ac:dyDescent="0.25">
      <c r="A18" s="3">
        <v>501350</v>
      </c>
      <c r="B18" s="4" t="s">
        <v>133</v>
      </c>
      <c r="C18" s="6">
        <v>3961</v>
      </c>
      <c r="D18" s="6">
        <v>4666</v>
      </c>
      <c r="E18" s="6">
        <v>5062.32</v>
      </c>
      <c r="F18" s="6">
        <v>5800</v>
      </c>
      <c r="G18" s="6">
        <v>7400</v>
      </c>
    </row>
    <row r="19" spans="1:8" ht="15.75" x14ac:dyDescent="0.25">
      <c r="A19" s="3">
        <v>510250</v>
      </c>
      <c r="B19" s="4" t="s">
        <v>193</v>
      </c>
      <c r="C19" s="6">
        <v>1127.8399999999999</v>
      </c>
      <c r="D19" s="6">
        <v>0</v>
      </c>
      <c r="E19" s="6">
        <v>168.71</v>
      </c>
      <c r="F19" s="6">
        <v>500</v>
      </c>
      <c r="G19" s="6">
        <v>1000</v>
      </c>
    </row>
    <row r="20" spans="1:8" ht="15.75" x14ac:dyDescent="0.25">
      <c r="A20" s="3">
        <v>510450</v>
      </c>
      <c r="B20" s="4" t="s">
        <v>145</v>
      </c>
      <c r="C20" s="6">
        <v>1096.3699999999999</v>
      </c>
      <c r="D20" s="6">
        <v>1482.35</v>
      </c>
      <c r="E20" s="6">
        <v>2233.58</v>
      </c>
      <c r="F20" s="6">
        <v>1500</v>
      </c>
      <c r="G20" s="6">
        <v>3300</v>
      </c>
    </row>
    <row r="21" spans="1:8" ht="45.75" x14ac:dyDescent="0.25">
      <c r="A21" s="3">
        <v>510500</v>
      </c>
      <c r="B21" s="4" t="s">
        <v>170</v>
      </c>
      <c r="C21" s="6">
        <v>3996.3</v>
      </c>
      <c r="D21" s="6">
        <v>4368.12</v>
      </c>
      <c r="E21" s="6">
        <v>10085.299999999999</v>
      </c>
      <c r="F21" s="6">
        <v>5000</v>
      </c>
      <c r="G21" s="6">
        <f>22000-1500</f>
        <v>20500</v>
      </c>
      <c r="H21" s="115" t="s">
        <v>425</v>
      </c>
    </row>
    <row r="22" spans="1:8" ht="45.75" x14ac:dyDescent="0.25">
      <c r="A22" s="3">
        <v>510550</v>
      </c>
      <c r="B22" s="4" t="s">
        <v>146</v>
      </c>
      <c r="C22" s="6">
        <v>0</v>
      </c>
      <c r="D22" s="6">
        <v>352.94</v>
      </c>
      <c r="E22" s="6">
        <v>4788.5</v>
      </c>
      <c r="F22" s="6">
        <v>4000</v>
      </c>
      <c r="G22" s="6">
        <f>10000-2000</f>
        <v>8000</v>
      </c>
      <c r="H22" s="115" t="s">
        <v>424</v>
      </c>
    </row>
    <row r="23" spans="1:8" ht="15.75" x14ac:dyDescent="0.25">
      <c r="A23" s="3">
        <v>510600</v>
      </c>
      <c r="B23" s="4" t="s">
        <v>147</v>
      </c>
      <c r="C23" s="6"/>
      <c r="D23" s="6"/>
      <c r="E23" s="6">
        <v>272</v>
      </c>
      <c r="F23" s="6"/>
      <c r="G23" s="6"/>
    </row>
    <row r="24" spans="1:8" ht="15.75" x14ac:dyDescent="0.25">
      <c r="A24" s="3">
        <v>510700</v>
      </c>
      <c r="B24" s="4" t="s">
        <v>149</v>
      </c>
      <c r="C24" s="6">
        <v>8845.48</v>
      </c>
      <c r="D24" s="6">
        <v>29727.09</v>
      </c>
      <c r="E24" s="6">
        <v>25993.81</v>
      </c>
      <c r="F24" s="6">
        <v>20000</v>
      </c>
      <c r="G24" s="6">
        <v>20000</v>
      </c>
    </row>
    <row r="25" spans="1:8" ht="15.75" x14ac:dyDescent="0.25">
      <c r="A25" s="3">
        <v>510750</v>
      </c>
      <c r="B25" s="4" t="s">
        <v>150</v>
      </c>
      <c r="C25" s="6">
        <v>6576.19</v>
      </c>
      <c r="D25" s="6">
        <v>17655.560000000001</v>
      </c>
      <c r="E25" s="6">
        <v>24276.12</v>
      </c>
      <c r="F25" s="6">
        <v>12000</v>
      </c>
      <c r="G25" s="6">
        <v>12000</v>
      </c>
    </row>
    <row r="26" spans="1:8" ht="15.75" x14ac:dyDescent="0.25">
      <c r="A26" s="3">
        <v>510800</v>
      </c>
      <c r="B26" s="4" t="s">
        <v>151</v>
      </c>
      <c r="C26" s="6">
        <v>35259.01</v>
      </c>
      <c r="D26" s="6">
        <v>21725.61</v>
      </c>
      <c r="E26" s="6">
        <v>33216.35</v>
      </c>
      <c r="F26" s="6">
        <v>30000</v>
      </c>
      <c r="G26" s="6">
        <v>35000</v>
      </c>
    </row>
    <row r="27" spans="1:8" ht="15.75" x14ac:dyDescent="0.25">
      <c r="A27" s="3">
        <v>510900</v>
      </c>
      <c r="B27" s="4" t="s">
        <v>152</v>
      </c>
      <c r="C27" s="6">
        <v>1335</v>
      </c>
      <c r="D27" s="6">
        <v>36444.269999999997</v>
      </c>
      <c r="E27" s="6">
        <v>26765.11</v>
      </c>
      <c r="F27" s="6">
        <v>2787.43</v>
      </c>
      <c r="G27" s="6">
        <v>5000</v>
      </c>
    </row>
    <row r="28" spans="1:8" ht="15.75" x14ac:dyDescent="0.25">
      <c r="A28" s="3">
        <v>511000</v>
      </c>
      <c r="B28" s="4" t="s">
        <v>153</v>
      </c>
      <c r="C28" s="6">
        <v>119.56</v>
      </c>
      <c r="D28" s="6">
        <v>294.52</v>
      </c>
      <c r="E28" s="6">
        <v>4212.99</v>
      </c>
      <c r="F28" s="6">
        <v>1000</v>
      </c>
      <c r="G28" s="6">
        <v>1000</v>
      </c>
    </row>
    <row r="29" spans="1:8" ht="15.75" x14ac:dyDescent="0.25">
      <c r="A29" s="3">
        <v>511100</v>
      </c>
      <c r="B29" s="4" t="s">
        <v>155</v>
      </c>
      <c r="C29" s="6">
        <v>17782.53</v>
      </c>
      <c r="D29" s="6">
        <v>39422.68</v>
      </c>
      <c r="E29" s="6">
        <v>48412.18</v>
      </c>
      <c r="F29" s="6">
        <v>19212.57</v>
      </c>
      <c r="G29" s="6">
        <v>19600</v>
      </c>
    </row>
    <row r="30" spans="1:8" ht="15.75" x14ac:dyDescent="0.25">
      <c r="A30" s="3">
        <v>511200</v>
      </c>
      <c r="B30" s="4" t="s">
        <v>157</v>
      </c>
      <c r="C30" s="6">
        <v>16024.33</v>
      </c>
      <c r="D30" s="6">
        <v>13793.62</v>
      </c>
      <c r="E30" s="6">
        <v>12600.36</v>
      </c>
      <c r="F30" s="6">
        <v>15000</v>
      </c>
      <c r="G30" s="6">
        <v>15000</v>
      </c>
    </row>
    <row r="31" spans="1:8" ht="15.75" x14ac:dyDescent="0.25">
      <c r="A31" s="3">
        <v>511250</v>
      </c>
      <c r="B31" s="4" t="s">
        <v>158</v>
      </c>
      <c r="C31" s="6">
        <v>330.32</v>
      </c>
      <c r="D31" s="6">
        <v>378.16</v>
      </c>
      <c r="E31" s="6">
        <v>414.76</v>
      </c>
      <c r="F31" s="6">
        <v>500</v>
      </c>
      <c r="G31" s="6">
        <v>500</v>
      </c>
    </row>
    <row r="32" spans="1:8" ht="15.75" x14ac:dyDescent="0.25">
      <c r="A32" s="3">
        <v>511300</v>
      </c>
      <c r="B32" s="4" t="s">
        <v>159</v>
      </c>
      <c r="C32" s="6">
        <v>386.49</v>
      </c>
      <c r="D32" s="6">
        <v>506.69</v>
      </c>
      <c r="E32" s="6">
        <v>707.93</v>
      </c>
      <c r="F32" s="6">
        <v>750</v>
      </c>
      <c r="G32" s="6">
        <v>800</v>
      </c>
    </row>
    <row r="33" spans="1:10" ht="15.75" x14ac:dyDescent="0.25">
      <c r="A33" s="3">
        <v>511350</v>
      </c>
      <c r="B33" s="4" t="s">
        <v>160</v>
      </c>
      <c r="C33" s="6">
        <v>256.44</v>
      </c>
      <c r="D33" s="6">
        <v>240.34</v>
      </c>
      <c r="E33" s="6">
        <v>274.43</v>
      </c>
      <c r="F33" s="6">
        <v>300</v>
      </c>
      <c r="G33" s="6">
        <v>300</v>
      </c>
    </row>
    <row r="34" spans="1:10" ht="30.75" x14ac:dyDescent="0.25">
      <c r="A34" s="3">
        <v>511400</v>
      </c>
      <c r="B34" s="4" t="s">
        <v>194</v>
      </c>
      <c r="C34" s="6">
        <v>16500</v>
      </c>
      <c r="D34" s="6">
        <v>7800</v>
      </c>
      <c r="E34" s="6">
        <v>26912</v>
      </c>
      <c r="F34" s="6">
        <v>10000</v>
      </c>
      <c r="G34" s="6">
        <f>7500-4500</f>
        <v>3000</v>
      </c>
      <c r="H34" s="115" t="s">
        <v>427</v>
      </c>
    </row>
    <row r="35" spans="1:10" ht="15.75" x14ac:dyDescent="0.25">
      <c r="A35" s="3">
        <v>511450</v>
      </c>
      <c r="B35" s="4" t="s">
        <v>195</v>
      </c>
      <c r="C35" s="6">
        <v>940</v>
      </c>
      <c r="D35" s="6">
        <v>3490</v>
      </c>
      <c r="E35" s="6">
        <v>3482.87</v>
      </c>
      <c r="F35" s="6">
        <v>1000</v>
      </c>
      <c r="G35" s="6">
        <v>1000</v>
      </c>
    </row>
    <row r="36" spans="1:10" ht="15.75" x14ac:dyDescent="0.25">
      <c r="A36" s="3">
        <v>511550</v>
      </c>
      <c r="B36" s="4" t="s">
        <v>256</v>
      </c>
      <c r="C36" s="6">
        <v>0</v>
      </c>
      <c r="D36" s="6">
        <v>70172</v>
      </c>
      <c r="E36" s="6">
        <v>0</v>
      </c>
      <c r="F36" s="6">
        <v>0</v>
      </c>
      <c r="G36" s="6">
        <v>0</v>
      </c>
    </row>
    <row r="37" spans="1:10" ht="15.75" x14ac:dyDescent="0.25">
      <c r="A37" s="3">
        <v>511500</v>
      </c>
      <c r="B37" s="4" t="s">
        <v>196</v>
      </c>
      <c r="C37" s="6">
        <v>71886.86</v>
      </c>
      <c r="D37" s="6">
        <v>991.74</v>
      </c>
      <c r="E37" s="6">
        <v>18624</v>
      </c>
      <c r="F37" s="6">
        <v>65000</v>
      </c>
      <c r="G37" s="6">
        <v>50000</v>
      </c>
    </row>
    <row r="38" spans="1:10" ht="15.75" x14ac:dyDescent="0.25">
      <c r="A38" s="3">
        <v>519000</v>
      </c>
      <c r="B38" s="4" t="s">
        <v>125</v>
      </c>
      <c r="C38" s="6">
        <v>718.8</v>
      </c>
      <c r="D38" s="6">
        <v>2807.8</v>
      </c>
      <c r="E38" s="6">
        <v>2121</v>
      </c>
      <c r="F38" s="6">
        <v>2000</v>
      </c>
      <c r="G38" s="6">
        <v>0</v>
      </c>
      <c r="H38" s="2" t="s">
        <v>391</v>
      </c>
    </row>
    <row r="39" spans="1:10" ht="15.75" x14ac:dyDescent="0.25">
      <c r="A39" s="3">
        <v>540000</v>
      </c>
      <c r="B39" s="4" t="s">
        <v>197</v>
      </c>
      <c r="C39" s="6">
        <v>5850.7</v>
      </c>
      <c r="D39" s="6">
        <v>5854.51</v>
      </c>
      <c r="E39" s="6">
        <v>0</v>
      </c>
      <c r="F39" s="6">
        <v>6000</v>
      </c>
      <c r="G39" s="6">
        <v>5000</v>
      </c>
      <c r="J39" s="83" t="s">
        <v>215</v>
      </c>
    </row>
    <row r="40" spans="1:10" ht="30.75" x14ac:dyDescent="0.25">
      <c r="A40" s="3">
        <v>540050</v>
      </c>
      <c r="B40" s="4" t="s">
        <v>198</v>
      </c>
      <c r="C40" s="6">
        <v>156903.92000000001</v>
      </c>
      <c r="D40" s="6">
        <v>112121.18</v>
      </c>
      <c r="E40" s="6">
        <f>156144+1</f>
        <v>156145</v>
      </c>
      <c r="F40" s="6">
        <v>125000</v>
      </c>
      <c r="G40" s="6">
        <f>125000-5500-19500</f>
        <v>100000</v>
      </c>
      <c r="H40" s="115" t="s">
        <v>428</v>
      </c>
    </row>
    <row r="41" spans="1:10" ht="15.75" x14ac:dyDescent="0.25">
      <c r="A41" s="3">
        <v>540100</v>
      </c>
      <c r="B41" s="4" t="s">
        <v>199</v>
      </c>
      <c r="C41" s="6">
        <v>24460.55</v>
      </c>
      <c r="D41" s="6">
        <v>31334.49</v>
      </c>
      <c r="E41" s="6">
        <v>47854</v>
      </c>
      <c r="F41" s="6">
        <v>25000</v>
      </c>
      <c r="G41" s="6">
        <v>40000</v>
      </c>
      <c r="H41" s="2" t="s">
        <v>392</v>
      </c>
    </row>
    <row r="42" spans="1:10" ht="30.75" x14ac:dyDescent="0.25">
      <c r="A42" s="3">
        <v>540250</v>
      </c>
      <c r="B42" s="4" t="s">
        <v>368</v>
      </c>
      <c r="C42" s="6"/>
      <c r="D42" s="6"/>
      <c r="E42" s="6"/>
      <c r="F42" s="6"/>
      <c r="G42" s="6">
        <f>4500+19500</f>
        <v>24000</v>
      </c>
      <c r="H42" s="115" t="s">
        <v>426</v>
      </c>
    </row>
    <row r="43" spans="1:10" ht="15.75" x14ac:dyDescent="0.25">
      <c r="A43" s="3">
        <v>550300</v>
      </c>
      <c r="B43" s="4" t="s">
        <v>207</v>
      </c>
      <c r="C43" s="6"/>
      <c r="D43" s="6"/>
      <c r="E43" s="6">
        <v>990</v>
      </c>
      <c r="F43" s="6"/>
      <c r="G43" s="6"/>
    </row>
    <row r="44" spans="1:10" ht="16.5" thickBot="1" x14ac:dyDescent="0.3">
      <c r="A44" s="3">
        <v>570250</v>
      </c>
      <c r="B44" s="4" t="s">
        <v>200</v>
      </c>
      <c r="C44" s="6">
        <v>3886.31</v>
      </c>
      <c r="D44" s="6">
        <v>4547.5200000000004</v>
      </c>
      <c r="E44" s="6">
        <v>10062.129999999999</v>
      </c>
      <c r="F44" s="6">
        <v>3500</v>
      </c>
      <c r="G44" s="6">
        <v>7500</v>
      </c>
    </row>
    <row r="45" spans="1:10" ht="16.5" thickBot="1" x14ac:dyDescent="0.3">
      <c r="A45" s="7" t="s">
        <v>11</v>
      </c>
      <c r="B45" s="8"/>
      <c r="C45" s="30">
        <f>SUM(C17:C44)</f>
        <v>382044.6</v>
      </c>
      <c r="D45" s="30">
        <f>SUM(D17:D44)</f>
        <v>414117.14999999997</v>
      </c>
      <c r="E45" s="30">
        <f>SUM(E17:E44)</f>
        <v>469815.05</v>
      </c>
      <c r="F45" s="30">
        <f>SUM(F17:F44)</f>
        <v>359650</v>
      </c>
      <c r="G45" s="30">
        <f>SUM(G17:G44)</f>
        <v>384400</v>
      </c>
    </row>
    <row r="46" spans="1:10" ht="15.75" thickBot="1" x14ac:dyDescent="0.25"/>
    <row r="47" spans="1:10" ht="16.5" thickBot="1" x14ac:dyDescent="0.3">
      <c r="A47" s="9" t="s">
        <v>48</v>
      </c>
      <c r="B47" s="10"/>
      <c r="C47" s="10"/>
      <c r="D47" s="10"/>
      <c r="E47" s="10"/>
      <c r="F47" s="10"/>
      <c r="G47" s="10"/>
      <c r="J47" s="83" t="s">
        <v>215</v>
      </c>
    </row>
    <row r="48" spans="1:10" ht="15" customHeight="1" x14ac:dyDescent="0.2">
      <c r="A48" s="150"/>
      <c r="B48" s="152" t="s">
        <v>12</v>
      </c>
      <c r="C48" s="154" t="s">
        <v>6</v>
      </c>
      <c r="D48" s="154" t="s">
        <v>5</v>
      </c>
      <c r="E48" s="154" t="s">
        <v>350</v>
      </c>
      <c r="F48" s="154" t="s">
        <v>349</v>
      </c>
      <c r="G48" s="154" t="s">
        <v>348</v>
      </c>
    </row>
    <row r="49" spans="1:8" ht="48.75" customHeight="1" thickBot="1" x14ac:dyDescent="0.25">
      <c r="A49" s="151"/>
      <c r="B49" s="153"/>
      <c r="C49" s="162"/>
      <c r="D49" s="162"/>
      <c r="E49" s="162"/>
      <c r="F49" s="162"/>
      <c r="G49" s="162"/>
    </row>
    <row r="50" spans="1:8" ht="15.75" x14ac:dyDescent="0.25">
      <c r="A50" s="3"/>
      <c r="B50" s="4" t="s">
        <v>13</v>
      </c>
      <c r="C50" s="6">
        <f>C13</f>
        <v>639688.14999999991</v>
      </c>
      <c r="D50" s="6">
        <f>D13</f>
        <v>614717.06000000006</v>
      </c>
      <c r="E50" s="6">
        <f>E13</f>
        <v>727057</v>
      </c>
      <c r="F50" s="6">
        <f>F13</f>
        <v>1043006</v>
      </c>
      <c r="G50" s="6">
        <f>G13</f>
        <v>1086776.419</v>
      </c>
    </row>
    <row r="51" spans="1:8" ht="15.75" x14ac:dyDescent="0.25">
      <c r="A51" s="3"/>
      <c r="B51" s="4" t="s">
        <v>14</v>
      </c>
      <c r="C51" s="6">
        <f>C45</f>
        <v>382044.6</v>
      </c>
      <c r="D51" s="6">
        <f>D45</f>
        <v>414117.14999999997</v>
      </c>
      <c r="E51" s="6">
        <f>E45</f>
        <v>469815.05</v>
      </c>
      <c r="F51" s="6">
        <f>F45</f>
        <v>359650</v>
      </c>
      <c r="G51" s="6">
        <f>G45</f>
        <v>384400</v>
      </c>
    </row>
    <row r="52" spans="1:8" ht="15.75" x14ac:dyDescent="0.25">
      <c r="A52" s="3"/>
      <c r="B52" s="4" t="s">
        <v>29</v>
      </c>
      <c r="C52" s="6"/>
      <c r="D52" s="6"/>
      <c r="E52" s="6"/>
      <c r="F52" s="6"/>
      <c r="G52" s="6">
        <f>2500*12+47619</f>
        <v>77619</v>
      </c>
      <c r="H52" s="2" t="s">
        <v>369</v>
      </c>
    </row>
    <row r="53" spans="1:8" ht="15.75" x14ac:dyDescent="0.25">
      <c r="A53" s="3"/>
      <c r="B53" s="4" t="s">
        <v>15</v>
      </c>
      <c r="C53" s="6">
        <v>0</v>
      </c>
      <c r="D53" s="6">
        <v>0</v>
      </c>
      <c r="E53" s="6">
        <f>1074160-707024</f>
        <v>367136</v>
      </c>
      <c r="F53" s="6">
        <v>144314</v>
      </c>
      <c r="G53" s="6"/>
    </row>
    <row r="54" spans="1:8" ht="16.5" thickBot="1" x14ac:dyDescent="0.3">
      <c r="A54" s="3"/>
      <c r="B54" s="4" t="s">
        <v>296</v>
      </c>
      <c r="C54" s="6">
        <v>4766.66</v>
      </c>
      <c r="D54" s="6">
        <v>373066.96</v>
      </c>
      <c r="E54" s="6">
        <v>707024</v>
      </c>
      <c r="F54" s="6">
        <v>350000</v>
      </c>
      <c r="G54" s="6">
        <v>350000</v>
      </c>
    </row>
    <row r="55" spans="1:8" ht="15.75" x14ac:dyDescent="0.25">
      <c r="A55" s="11" t="s">
        <v>16</v>
      </c>
      <c r="B55" s="12"/>
      <c r="C55" s="31">
        <f>SUM(C50:C54)</f>
        <v>1026499.4099999999</v>
      </c>
      <c r="D55" s="31">
        <f>SUM(D50:D54)</f>
        <v>1401901.17</v>
      </c>
      <c r="E55" s="31">
        <f>SUM(E50:E54)</f>
        <v>2271032.0499999998</v>
      </c>
      <c r="F55" s="31">
        <f>SUM(F50:F54)</f>
        <v>1896970</v>
      </c>
      <c r="G55" s="31">
        <f>SUM(G50:G54)</f>
        <v>1898795.419</v>
      </c>
    </row>
  </sheetData>
  <mergeCells count="9">
    <mergeCell ref="A1:G1"/>
    <mergeCell ref="G48:G49"/>
    <mergeCell ref="A2:F2"/>
    <mergeCell ref="A48:A49"/>
    <mergeCell ref="B48:B49"/>
    <mergeCell ref="C48:C49"/>
    <mergeCell ref="D48:D49"/>
    <mergeCell ref="E48:E49"/>
    <mergeCell ref="F48:F49"/>
  </mergeCells>
  <pageMargins left="0.45" right="0.45" top="0.75" bottom="0.75" header="0.3" footer="0.3"/>
  <pageSetup scale="59" fitToHeight="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0FEA-E773-4BEB-98B4-FFB3596AF8E8}">
  <sheetPr>
    <pageSetUpPr fitToPage="1"/>
  </sheetPr>
  <dimension ref="A1:I36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8" width="31.28515625" style="2" customWidth="1"/>
    <col min="9" max="16384" width="9.140625" style="2"/>
  </cols>
  <sheetData>
    <row r="1" spans="1:9" ht="34.5" x14ac:dyDescent="0.45">
      <c r="A1" s="144" t="s">
        <v>380</v>
      </c>
      <c r="B1" s="144"/>
      <c r="C1" s="144"/>
      <c r="D1" s="144"/>
      <c r="E1" s="144"/>
      <c r="F1" s="144"/>
      <c r="G1" s="144"/>
    </row>
    <row r="2" spans="1:9" x14ac:dyDescent="0.2">
      <c r="A2" s="145"/>
      <c r="B2" s="145"/>
      <c r="C2" s="145"/>
      <c r="D2" s="145"/>
      <c r="E2" s="145"/>
      <c r="F2" s="145"/>
    </row>
    <row r="3" spans="1:9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9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9" ht="15.75" x14ac:dyDescent="0.25">
      <c r="A5" s="3">
        <v>500000</v>
      </c>
      <c r="B5" s="4" t="s">
        <v>119</v>
      </c>
      <c r="C5" s="36">
        <v>245883.03</v>
      </c>
      <c r="D5" s="36">
        <v>234210.23</v>
      </c>
      <c r="E5" s="36">
        <v>225921</v>
      </c>
      <c r="F5" s="36">
        <f>E5+9563</f>
        <v>235484</v>
      </c>
      <c r="G5" s="36">
        <f>211611-40000</f>
        <v>171611</v>
      </c>
      <c r="H5" s="164" t="s">
        <v>429</v>
      </c>
    </row>
    <row r="6" spans="1:9" ht="30.75" customHeight="1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36">
        <v>40000</v>
      </c>
      <c r="H6" s="165"/>
    </row>
    <row r="7" spans="1:9" ht="15.75" x14ac:dyDescent="0.25">
      <c r="A7" s="3">
        <v>501000</v>
      </c>
      <c r="B7" s="4" t="s">
        <v>122</v>
      </c>
      <c r="C7" s="6">
        <v>17767.62</v>
      </c>
      <c r="D7" s="6">
        <v>16901.8</v>
      </c>
      <c r="E7" s="6">
        <v>16495.080000000002</v>
      </c>
      <c r="F7" s="6">
        <v>15365</v>
      </c>
      <c r="G7" s="36">
        <v>12747</v>
      </c>
    </row>
    <row r="8" spans="1:9" ht="15.75" x14ac:dyDescent="0.25">
      <c r="A8" s="3">
        <v>501100</v>
      </c>
      <c r="B8" s="4" t="s">
        <v>123</v>
      </c>
      <c r="C8" s="6">
        <v>95157.5</v>
      </c>
      <c r="D8" s="6">
        <v>55886</v>
      </c>
      <c r="E8" s="6">
        <v>52810.5</v>
      </c>
      <c r="F8" s="6">
        <v>60000</v>
      </c>
      <c r="G8" s="36">
        <f>49728*1.103</f>
        <v>54849.983999999997</v>
      </c>
      <c r="H8" s="2" t="s">
        <v>381</v>
      </c>
    </row>
    <row r="9" spans="1:9" ht="15.75" x14ac:dyDescent="0.25">
      <c r="A9" s="3">
        <v>501150</v>
      </c>
      <c r="B9" s="4" t="s">
        <v>129</v>
      </c>
      <c r="C9" s="6">
        <v>1160.81</v>
      </c>
      <c r="D9" s="6">
        <v>907.58</v>
      </c>
      <c r="E9" s="6">
        <v>979.51</v>
      </c>
      <c r="F9" s="6">
        <v>1300</v>
      </c>
      <c r="G9" s="36">
        <f>1365*1.103</f>
        <v>1505.595</v>
      </c>
      <c r="H9" s="2" t="s">
        <v>381</v>
      </c>
    </row>
    <row r="10" spans="1:9" ht="15.75" x14ac:dyDescent="0.25">
      <c r="A10" s="3">
        <v>501200</v>
      </c>
      <c r="B10" s="4" t="s">
        <v>130</v>
      </c>
      <c r="C10" s="6">
        <v>37116.639999999999</v>
      </c>
      <c r="D10" s="6">
        <v>30344.42</v>
      </c>
      <c r="E10" s="6">
        <v>40697.4</v>
      </c>
      <c r="F10" s="6">
        <v>53000</v>
      </c>
      <c r="G10" s="36">
        <v>119894</v>
      </c>
      <c r="H10" s="2" t="s">
        <v>382</v>
      </c>
      <c r="I10" s="2" t="s">
        <v>215</v>
      </c>
    </row>
    <row r="11" spans="1:9" ht="15.75" x14ac:dyDescent="0.25">
      <c r="A11" s="3">
        <v>501225</v>
      </c>
      <c r="B11" s="4" t="s">
        <v>131</v>
      </c>
      <c r="C11" s="6">
        <v>649.47</v>
      </c>
      <c r="D11" s="6">
        <v>600.70000000000005</v>
      </c>
      <c r="E11" s="6">
        <v>1324.06</v>
      </c>
      <c r="F11" s="6">
        <v>1200</v>
      </c>
      <c r="G11" s="36">
        <v>1265</v>
      </c>
    </row>
    <row r="12" spans="1:9" ht="16.5" thickBot="1" x14ac:dyDescent="0.3">
      <c r="A12" s="3">
        <v>501250</v>
      </c>
      <c r="B12" s="4" t="s">
        <v>124</v>
      </c>
      <c r="C12" s="6">
        <v>13701.8</v>
      </c>
      <c r="D12" s="6">
        <v>9728.9</v>
      </c>
      <c r="E12" s="6">
        <v>10697.98</v>
      </c>
      <c r="F12" s="6">
        <v>15539</v>
      </c>
      <c r="G12" s="6">
        <v>14200</v>
      </c>
    </row>
    <row r="13" spans="1:9" ht="16.5" thickBot="1" x14ac:dyDescent="0.3">
      <c r="A13" s="7" t="s">
        <v>10</v>
      </c>
      <c r="B13" s="8"/>
      <c r="C13" s="30">
        <f>SUM(C5:C12)</f>
        <v>411436.87</v>
      </c>
      <c r="D13" s="30">
        <f>SUM(D5:D12)</f>
        <v>348579.63000000006</v>
      </c>
      <c r="E13" s="30">
        <f>SUM(E5:E12)</f>
        <v>348925.53</v>
      </c>
      <c r="F13" s="30">
        <f>SUM(F5:F12)</f>
        <v>381888</v>
      </c>
      <c r="G13" s="30">
        <f>SUM(G5:G12)</f>
        <v>416072.57899999997</v>
      </c>
    </row>
    <row r="15" spans="1:9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9" ht="56.25" x14ac:dyDescent="0.2">
      <c r="A16" s="5" t="s">
        <v>1</v>
      </c>
      <c r="B16" s="5" t="s">
        <v>2</v>
      </c>
      <c r="C16" s="77" t="s">
        <v>6</v>
      </c>
      <c r="D16" s="77" t="s">
        <v>5</v>
      </c>
      <c r="E16" s="77" t="s">
        <v>350</v>
      </c>
      <c r="F16" s="77" t="s">
        <v>349</v>
      </c>
      <c r="G16" s="77" t="s">
        <v>348</v>
      </c>
    </row>
    <row r="17" spans="1:7" ht="15.75" x14ac:dyDescent="0.25">
      <c r="A17" s="3">
        <v>501350</v>
      </c>
      <c r="B17" s="4" t="s">
        <v>133</v>
      </c>
      <c r="C17" s="36">
        <v>2500</v>
      </c>
      <c r="D17" s="36">
        <v>3476</v>
      </c>
      <c r="E17" s="36">
        <v>3606</v>
      </c>
      <c r="F17" s="36">
        <v>2600</v>
      </c>
      <c r="G17" s="36">
        <v>3300</v>
      </c>
    </row>
    <row r="18" spans="1:7" ht="15.75" x14ac:dyDescent="0.25">
      <c r="A18" s="3">
        <v>510500</v>
      </c>
      <c r="B18" s="4" t="s">
        <v>170</v>
      </c>
      <c r="C18" s="6">
        <v>797.65</v>
      </c>
      <c r="D18" s="6">
        <v>1867.84</v>
      </c>
      <c r="E18" s="6">
        <v>3192</v>
      </c>
      <c r="F18" s="6">
        <v>2000</v>
      </c>
      <c r="G18" s="6">
        <v>5200</v>
      </c>
    </row>
    <row r="19" spans="1:7" ht="15.75" x14ac:dyDescent="0.25">
      <c r="A19" s="3">
        <v>510550</v>
      </c>
      <c r="B19" s="4" t="s">
        <v>146</v>
      </c>
      <c r="C19" s="6"/>
      <c r="D19" s="6"/>
      <c r="E19" s="6"/>
      <c r="F19" s="6"/>
      <c r="G19" s="6">
        <v>1000</v>
      </c>
    </row>
    <row r="20" spans="1:7" ht="15.75" x14ac:dyDescent="0.25">
      <c r="A20" s="3">
        <v>510700</v>
      </c>
      <c r="B20" s="4" t="s">
        <v>149</v>
      </c>
      <c r="C20" s="6">
        <v>20047.21</v>
      </c>
      <c r="D20" s="6">
        <v>25934.45</v>
      </c>
      <c r="E20" s="6">
        <v>26301</v>
      </c>
      <c r="F20" s="6">
        <v>25000</v>
      </c>
      <c r="G20" s="6">
        <v>25000</v>
      </c>
    </row>
    <row r="21" spans="1:7" ht="15.75" x14ac:dyDescent="0.25">
      <c r="A21" s="3">
        <v>510750</v>
      </c>
      <c r="B21" s="4" t="s">
        <v>150</v>
      </c>
      <c r="C21" s="6">
        <v>12605.38</v>
      </c>
      <c r="D21" s="6">
        <v>30463.65</v>
      </c>
      <c r="E21" s="6">
        <v>25730</v>
      </c>
      <c r="F21" s="6">
        <v>25000</v>
      </c>
      <c r="G21" s="6">
        <v>45000</v>
      </c>
    </row>
    <row r="22" spans="1:7" ht="15.75" x14ac:dyDescent="0.25">
      <c r="A22" s="3">
        <v>510800</v>
      </c>
      <c r="B22" s="4" t="s">
        <v>151</v>
      </c>
      <c r="C22" s="6">
        <v>35195.379999999997</v>
      </c>
      <c r="D22" s="6">
        <v>36724.58</v>
      </c>
      <c r="E22" s="6">
        <v>4551</v>
      </c>
      <c r="F22" s="6">
        <v>35000</v>
      </c>
      <c r="G22" s="6">
        <v>20000</v>
      </c>
    </row>
    <row r="23" spans="1:7" ht="15.75" x14ac:dyDescent="0.25">
      <c r="A23" s="3">
        <v>510900</v>
      </c>
      <c r="B23" s="4" t="s">
        <v>152</v>
      </c>
      <c r="C23" s="6"/>
      <c r="D23" s="6"/>
      <c r="E23" s="6">
        <v>1035</v>
      </c>
      <c r="F23" s="6"/>
      <c r="G23" s="6">
        <v>1500</v>
      </c>
    </row>
    <row r="24" spans="1:7" ht="15.75" x14ac:dyDescent="0.25">
      <c r="A24" s="3">
        <v>511100</v>
      </c>
      <c r="B24" s="4" t="s">
        <v>155</v>
      </c>
      <c r="C24" s="6">
        <v>7561.75</v>
      </c>
      <c r="D24" s="6">
        <v>15534.32</v>
      </c>
      <c r="E24" s="6">
        <v>28409</v>
      </c>
      <c r="F24" s="6">
        <v>10000</v>
      </c>
      <c r="G24" s="6">
        <v>6000</v>
      </c>
    </row>
    <row r="25" spans="1:7" ht="15.75" x14ac:dyDescent="0.25">
      <c r="A25" s="3">
        <v>519000</v>
      </c>
      <c r="B25" s="4" t="s">
        <v>125</v>
      </c>
      <c r="C25" s="6">
        <v>4379.37</v>
      </c>
      <c r="D25" s="6">
        <v>4722.49</v>
      </c>
      <c r="E25" s="6">
        <v>1299</v>
      </c>
      <c r="F25" s="6">
        <v>5000</v>
      </c>
      <c r="G25" s="6">
        <v>5000</v>
      </c>
    </row>
    <row r="26" spans="1:7" ht="16.5" thickBot="1" x14ac:dyDescent="0.3">
      <c r="A26" s="3">
        <v>541000</v>
      </c>
      <c r="B26" s="4" t="s">
        <v>201</v>
      </c>
      <c r="C26" s="6">
        <v>16280.99</v>
      </c>
      <c r="D26" s="6">
        <v>22657.94</v>
      </c>
      <c r="E26" s="6">
        <v>15445</v>
      </c>
      <c r="F26" s="6">
        <v>22000</v>
      </c>
      <c r="G26" s="6">
        <f>29000-5500</f>
        <v>23500</v>
      </c>
    </row>
    <row r="27" spans="1:7" ht="16.5" thickBot="1" x14ac:dyDescent="0.3">
      <c r="A27" s="7" t="s">
        <v>11</v>
      </c>
      <c r="B27" s="8"/>
      <c r="C27" s="30">
        <f>SUM(C17:C26)</f>
        <v>99367.73</v>
      </c>
      <c r="D27" s="30">
        <f>SUM(D17:D26)</f>
        <v>141381.26999999999</v>
      </c>
      <c r="E27" s="30">
        <f>SUM(E17:E26)</f>
        <v>109568</v>
      </c>
      <c r="F27" s="30">
        <f>SUM(F17:F26)</f>
        <v>126600</v>
      </c>
      <c r="G27" s="30">
        <f>SUM(G17:G26)</f>
        <v>135500</v>
      </c>
    </row>
    <row r="28" spans="1:7" ht="15.75" thickBot="1" x14ac:dyDescent="0.25"/>
    <row r="29" spans="1:7" ht="16.5" thickBot="1" x14ac:dyDescent="0.3">
      <c r="A29" s="9" t="s">
        <v>48</v>
      </c>
      <c r="B29" s="10"/>
      <c r="C29" s="10"/>
      <c r="D29" s="10"/>
      <c r="E29" s="10"/>
      <c r="F29" s="10"/>
      <c r="G29" s="10"/>
    </row>
    <row r="30" spans="1:7" ht="15" customHeight="1" x14ac:dyDescent="0.2">
      <c r="A30" s="150"/>
      <c r="B30" s="152" t="s">
        <v>12</v>
      </c>
      <c r="C30" s="154" t="s">
        <v>6</v>
      </c>
      <c r="D30" s="154" t="s">
        <v>5</v>
      </c>
      <c r="E30" s="154" t="s">
        <v>350</v>
      </c>
      <c r="F30" s="154" t="s">
        <v>349</v>
      </c>
      <c r="G30" s="154" t="s">
        <v>348</v>
      </c>
    </row>
    <row r="31" spans="1:7" ht="50.25" customHeight="1" thickBot="1" x14ac:dyDescent="0.25">
      <c r="A31" s="151"/>
      <c r="B31" s="153"/>
      <c r="C31" s="162"/>
      <c r="D31" s="162"/>
      <c r="E31" s="162"/>
      <c r="F31" s="162"/>
      <c r="G31" s="162"/>
    </row>
    <row r="32" spans="1:7" ht="15.75" x14ac:dyDescent="0.25">
      <c r="A32" s="3"/>
      <c r="B32" s="4" t="s">
        <v>13</v>
      </c>
      <c r="C32" s="6">
        <f>C13</f>
        <v>411436.87</v>
      </c>
      <c r="D32" s="6">
        <f>D13</f>
        <v>348579.63000000006</v>
      </c>
      <c r="E32" s="6">
        <f>E13</f>
        <v>348925.53</v>
      </c>
      <c r="F32" s="6">
        <f>F13</f>
        <v>381888</v>
      </c>
      <c r="G32" s="6">
        <f>G13</f>
        <v>416072.57899999997</v>
      </c>
    </row>
    <row r="33" spans="1:7" ht="15.75" x14ac:dyDescent="0.25">
      <c r="A33" s="3"/>
      <c r="B33" s="4" t="s">
        <v>14</v>
      </c>
      <c r="C33" s="6">
        <f>C27</f>
        <v>99367.73</v>
      </c>
      <c r="D33" s="6">
        <f>D27</f>
        <v>141381.26999999999</v>
      </c>
      <c r="E33" s="6">
        <f>E27</f>
        <v>109568</v>
      </c>
      <c r="F33" s="6">
        <f>F27</f>
        <v>126600</v>
      </c>
      <c r="G33" s="6">
        <f>G27</f>
        <v>135500</v>
      </c>
    </row>
    <row r="34" spans="1:7" ht="15.75" x14ac:dyDescent="0.25">
      <c r="A34" s="3"/>
      <c r="B34" s="4" t="s">
        <v>29</v>
      </c>
      <c r="C34" s="6">
        <v>0</v>
      </c>
      <c r="D34" s="6">
        <v>0</v>
      </c>
      <c r="E34" s="6">
        <v>0</v>
      </c>
      <c r="F34" s="6">
        <v>50000</v>
      </c>
      <c r="G34" s="6">
        <v>0</v>
      </c>
    </row>
    <row r="35" spans="1:7" ht="16.5" thickBot="1" x14ac:dyDescent="0.3">
      <c r="A35" s="3"/>
      <c r="B35" s="4" t="s">
        <v>15</v>
      </c>
      <c r="C35" s="6">
        <v>0</v>
      </c>
      <c r="D35" s="6">
        <v>0</v>
      </c>
      <c r="E35" s="6">
        <v>55200</v>
      </c>
      <c r="F35" s="6">
        <v>0</v>
      </c>
      <c r="G35" s="6">
        <v>0</v>
      </c>
    </row>
    <row r="36" spans="1:7" ht="15.75" x14ac:dyDescent="0.25">
      <c r="A36" s="11" t="s">
        <v>16</v>
      </c>
      <c r="B36" s="12"/>
      <c r="C36" s="31">
        <f>SUM(C32:C35)</f>
        <v>510804.6</v>
      </c>
      <c r="D36" s="31">
        <f>SUM(D32:D35)</f>
        <v>489960.9</v>
      </c>
      <c r="E36" s="31">
        <f>SUM(E32:E35)</f>
        <v>513693.53</v>
      </c>
      <c r="F36" s="31">
        <f>SUM(F32:F35)</f>
        <v>558488</v>
      </c>
      <c r="G36" s="31">
        <f>SUM(G32:G35)</f>
        <v>551572.57899999991</v>
      </c>
    </row>
  </sheetData>
  <mergeCells count="10">
    <mergeCell ref="H5:H6"/>
    <mergeCell ref="A1:G1"/>
    <mergeCell ref="G30:G31"/>
    <mergeCell ref="A2:F2"/>
    <mergeCell ref="A30:A31"/>
    <mergeCell ref="B30:B31"/>
    <mergeCell ref="C30:C31"/>
    <mergeCell ref="D30:D31"/>
    <mergeCell ref="E30:E31"/>
    <mergeCell ref="F30:F31"/>
  </mergeCells>
  <pageMargins left="0.45" right="0.45" top="0.75" bottom="0.75" header="0.3" footer="0.3"/>
  <pageSetup scale="60" fitToHeight="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634D-118D-4B42-9E39-7D6CB54DFCEA}">
  <sheetPr>
    <pageSetUpPr fitToPage="1"/>
  </sheetPr>
  <dimension ref="A1:H52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8" width="23.7109375" style="2" customWidth="1"/>
    <col min="9" max="11" width="9.140625" style="2"/>
    <col min="12" max="12" width="9.85546875" style="2" bestFit="1" customWidth="1"/>
    <col min="13" max="16384" width="9.140625" style="2"/>
  </cols>
  <sheetData>
    <row r="1" spans="1:7" ht="34.5" x14ac:dyDescent="0.45">
      <c r="A1" s="144" t="s">
        <v>27</v>
      </c>
      <c r="B1" s="144"/>
      <c r="C1" s="144"/>
      <c r="D1" s="144"/>
      <c r="E1" s="144"/>
      <c r="F1" s="144"/>
      <c r="G1" s="144"/>
    </row>
    <row r="2" spans="1:7" x14ac:dyDescent="0.2">
      <c r="A2" s="145"/>
      <c r="B2" s="145"/>
      <c r="C2" s="145"/>
      <c r="D2" s="145"/>
      <c r="E2" s="145"/>
      <c r="F2" s="145"/>
    </row>
    <row r="3" spans="1:7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7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7" ht="15.75" x14ac:dyDescent="0.25">
      <c r="A5" s="3">
        <v>500000</v>
      </c>
      <c r="B5" s="4" t="s">
        <v>119</v>
      </c>
      <c r="C5" s="36">
        <v>87899.61</v>
      </c>
      <c r="D5" s="36">
        <v>99169.9</v>
      </c>
      <c r="E5" s="36">
        <v>116147</v>
      </c>
      <c r="F5" s="36">
        <v>167619</v>
      </c>
      <c r="G5" s="36">
        <f>121120+29432</f>
        <v>150552</v>
      </c>
    </row>
    <row r="6" spans="1:7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36">
        <v>0</v>
      </c>
    </row>
    <row r="7" spans="1:7" ht="15.75" x14ac:dyDescent="0.25">
      <c r="A7" s="3">
        <v>501000</v>
      </c>
      <c r="B7" s="4" t="s">
        <v>122</v>
      </c>
      <c r="C7" s="6">
        <v>6584.71</v>
      </c>
      <c r="D7" s="6">
        <v>7434.91</v>
      </c>
      <c r="E7" s="6">
        <v>8805.68</v>
      </c>
      <c r="F7" s="6">
        <v>12822</v>
      </c>
      <c r="G7" s="6">
        <v>11516</v>
      </c>
    </row>
    <row r="8" spans="1:7" ht="15.75" x14ac:dyDescent="0.25">
      <c r="A8" s="3">
        <v>501100</v>
      </c>
      <c r="B8" s="4" t="s">
        <v>123</v>
      </c>
      <c r="C8" s="6">
        <v>19416</v>
      </c>
      <c r="D8" s="6">
        <v>20328</v>
      </c>
      <c r="E8" s="6">
        <v>11792</v>
      </c>
      <c r="F8" s="6">
        <f>700*12</f>
        <v>8400</v>
      </c>
      <c r="G8" s="6">
        <f>13104*1.103</f>
        <v>14453.712</v>
      </c>
    </row>
    <row r="9" spans="1:7" ht="15.75" x14ac:dyDescent="0.25">
      <c r="A9" s="3">
        <v>501150</v>
      </c>
      <c r="B9" s="4" t="s">
        <v>129</v>
      </c>
      <c r="C9" s="6">
        <v>236.88</v>
      </c>
      <c r="D9" s="6">
        <v>248.16</v>
      </c>
      <c r="E9" s="6">
        <v>240.64</v>
      </c>
      <c r="F9" s="6">
        <v>300</v>
      </c>
      <c r="G9" s="6">
        <f>411*1.103</f>
        <v>453.33299999999997</v>
      </c>
    </row>
    <row r="10" spans="1:7" ht="15.75" x14ac:dyDescent="0.25">
      <c r="A10" s="3">
        <v>501200</v>
      </c>
      <c r="B10" s="4" t="s">
        <v>130</v>
      </c>
      <c r="C10" s="6">
        <v>7409.54</v>
      </c>
      <c r="D10" s="6">
        <v>7476.04</v>
      </c>
      <c r="E10" s="6">
        <v>8560.6</v>
      </c>
      <c r="F10" s="6">
        <v>7500</v>
      </c>
      <c r="G10" s="6">
        <v>27500</v>
      </c>
    </row>
    <row r="11" spans="1:7" ht="15.75" x14ac:dyDescent="0.25">
      <c r="A11" s="3">
        <v>501225</v>
      </c>
      <c r="B11" s="4" t="s">
        <v>370</v>
      </c>
      <c r="C11" s="6"/>
      <c r="D11" s="6"/>
      <c r="E11" s="6">
        <v>272</v>
      </c>
      <c r="F11" s="6"/>
      <c r="G11" s="6">
        <v>500</v>
      </c>
    </row>
    <row r="12" spans="1:7" ht="16.5" thickBot="1" x14ac:dyDescent="0.3">
      <c r="A12" s="3">
        <v>501250</v>
      </c>
      <c r="B12" s="4" t="s">
        <v>124</v>
      </c>
      <c r="C12" s="6">
        <v>1646.43</v>
      </c>
      <c r="D12" s="6">
        <v>1840.94</v>
      </c>
      <c r="E12" s="6">
        <v>1480.92</v>
      </c>
      <c r="F12" s="6">
        <v>2000</v>
      </c>
      <c r="G12" s="6">
        <v>2200</v>
      </c>
    </row>
    <row r="13" spans="1:7" ht="16.5" thickBot="1" x14ac:dyDescent="0.3">
      <c r="A13" s="7" t="s">
        <v>10</v>
      </c>
      <c r="B13" s="8"/>
      <c r="C13" s="30">
        <f>SUM(C5:C12)</f>
        <v>123193.17</v>
      </c>
      <c r="D13" s="30">
        <f>SUM(D5:D12)</f>
        <v>136497.95000000001</v>
      </c>
      <c r="E13" s="30">
        <f>SUM(E5:E12)</f>
        <v>147298.84000000003</v>
      </c>
      <c r="F13" s="30">
        <f>SUM(F5:F12)</f>
        <v>198641</v>
      </c>
      <c r="G13" s="30">
        <f>SUM(G5:G12)</f>
        <v>207175.04500000001</v>
      </c>
    </row>
    <row r="15" spans="1:7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7" ht="56.25" x14ac:dyDescent="0.2">
      <c r="A16" s="5" t="s">
        <v>1</v>
      </c>
      <c r="B16" s="5" t="s">
        <v>2</v>
      </c>
      <c r="C16" s="77" t="s">
        <v>6</v>
      </c>
      <c r="D16" s="77" t="s">
        <v>5</v>
      </c>
      <c r="E16" s="77" t="s">
        <v>350</v>
      </c>
      <c r="F16" s="77" t="s">
        <v>349</v>
      </c>
      <c r="G16" s="77" t="s">
        <v>348</v>
      </c>
    </row>
    <row r="17" spans="1:8" ht="15.75" x14ac:dyDescent="0.25">
      <c r="A17" s="3">
        <v>501300</v>
      </c>
      <c r="B17" s="4" t="s">
        <v>132</v>
      </c>
      <c r="C17" s="36">
        <v>3736</v>
      </c>
      <c r="D17" s="36">
        <v>4026.6</v>
      </c>
      <c r="E17" s="36">
        <v>4514.6400000000003</v>
      </c>
      <c r="F17" s="36">
        <v>4000</v>
      </c>
      <c r="G17" s="36">
        <v>4200</v>
      </c>
    </row>
    <row r="18" spans="1:8" ht="15.75" x14ac:dyDescent="0.25">
      <c r="A18" s="3">
        <v>501350</v>
      </c>
      <c r="B18" s="4" t="s">
        <v>133</v>
      </c>
      <c r="C18" s="6">
        <v>0</v>
      </c>
      <c r="D18" s="6">
        <v>350</v>
      </c>
      <c r="E18" s="6">
        <v>371</v>
      </c>
      <c r="F18" s="6">
        <v>0</v>
      </c>
      <c r="G18" s="6">
        <v>0</v>
      </c>
    </row>
    <row r="19" spans="1:8" ht="15.75" x14ac:dyDescent="0.25">
      <c r="A19" s="3">
        <v>510000</v>
      </c>
      <c r="B19" s="4" t="s">
        <v>134</v>
      </c>
      <c r="C19" s="6">
        <v>-2.6</v>
      </c>
      <c r="D19" s="6">
        <v>-15.09</v>
      </c>
      <c r="E19" s="6">
        <v>10</v>
      </c>
      <c r="F19" s="6">
        <v>0</v>
      </c>
      <c r="G19" s="6">
        <v>0</v>
      </c>
    </row>
    <row r="20" spans="1:8" ht="30.75" x14ac:dyDescent="0.25">
      <c r="A20" s="3">
        <v>510100</v>
      </c>
      <c r="B20" s="4" t="s">
        <v>136</v>
      </c>
      <c r="C20" s="6"/>
      <c r="D20" s="6"/>
      <c r="E20" s="6"/>
      <c r="F20" s="6"/>
      <c r="G20" s="6">
        <v>0</v>
      </c>
      <c r="H20" s="115" t="s">
        <v>423</v>
      </c>
    </row>
    <row r="21" spans="1:8" ht="15.75" x14ac:dyDescent="0.25">
      <c r="A21" s="3">
        <v>510350</v>
      </c>
      <c r="B21" s="4" t="s">
        <v>142</v>
      </c>
      <c r="C21" s="6">
        <v>131.74</v>
      </c>
      <c r="D21" s="6">
        <v>25.78</v>
      </c>
      <c r="E21" s="6">
        <v>66.45</v>
      </c>
      <c r="F21" s="6">
        <v>150</v>
      </c>
      <c r="G21" s="6">
        <v>300</v>
      </c>
    </row>
    <row r="22" spans="1:8" ht="15.75" x14ac:dyDescent="0.25">
      <c r="A22" s="3">
        <v>510425</v>
      </c>
      <c r="B22" s="4" t="s">
        <v>202</v>
      </c>
      <c r="C22" s="6">
        <v>2102.34</v>
      </c>
      <c r="D22" s="6">
        <v>1806.18</v>
      </c>
      <c r="E22" s="6">
        <v>0</v>
      </c>
      <c r="F22" s="6">
        <v>0</v>
      </c>
      <c r="G22" s="6">
        <v>0</v>
      </c>
    </row>
    <row r="23" spans="1:8" ht="15.75" x14ac:dyDescent="0.25">
      <c r="A23" s="3">
        <v>510450</v>
      </c>
      <c r="B23" s="4" t="s">
        <v>145</v>
      </c>
      <c r="C23" s="6">
        <v>2325.1999999999998</v>
      </c>
      <c r="D23" s="6">
        <v>2057.33</v>
      </c>
      <c r="E23" s="6">
        <v>2363.5500000000002</v>
      </c>
      <c r="F23" s="6">
        <v>2000</v>
      </c>
      <c r="G23" s="6">
        <v>3300</v>
      </c>
    </row>
    <row r="24" spans="1:8" ht="15.75" x14ac:dyDescent="0.25">
      <c r="A24" s="3">
        <v>510550</v>
      </c>
      <c r="B24" s="4" t="s">
        <v>146</v>
      </c>
      <c r="C24" s="6"/>
      <c r="D24" s="6"/>
      <c r="E24" s="6">
        <v>1554</v>
      </c>
      <c r="F24" s="6"/>
      <c r="G24" s="6"/>
    </row>
    <row r="25" spans="1:8" ht="15.75" x14ac:dyDescent="0.25">
      <c r="A25" s="3">
        <v>510600</v>
      </c>
      <c r="B25" s="4" t="s">
        <v>147</v>
      </c>
      <c r="C25" s="6">
        <v>0</v>
      </c>
      <c r="D25" s="6">
        <v>6271</v>
      </c>
      <c r="E25" s="6">
        <v>560</v>
      </c>
      <c r="F25" s="6">
        <v>0</v>
      </c>
      <c r="G25" s="6">
        <f>2000-150+1500</f>
        <v>3350</v>
      </c>
    </row>
    <row r="26" spans="1:8" ht="15.75" x14ac:dyDescent="0.25">
      <c r="A26" s="3">
        <v>510700</v>
      </c>
      <c r="B26" s="4" t="s">
        <v>149</v>
      </c>
      <c r="C26" s="6">
        <v>317.58</v>
      </c>
      <c r="D26" s="6">
        <v>256.06</v>
      </c>
      <c r="E26" s="6">
        <v>0</v>
      </c>
      <c r="F26" s="6">
        <v>0</v>
      </c>
      <c r="G26" s="6">
        <v>0</v>
      </c>
    </row>
    <row r="27" spans="1:8" ht="15.75" x14ac:dyDescent="0.25">
      <c r="A27" s="3">
        <v>510800</v>
      </c>
      <c r="B27" s="4" t="s">
        <v>151</v>
      </c>
      <c r="C27" s="6">
        <v>0</v>
      </c>
      <c r="D27" s="6">
        <v>317.13</v>
      </c>
      <c r="E27" s="6">
        <v>60</v>
      </c>
      <c r="F27" s="6">
        <v>0</v>
      </c>
      <c r="G27" s="6">
        <v>0</v>
      </c>
    </row>
    <row r="28" spans="1:8" ht="15.75" x14ac:dyDescent="0.25">
      <c r="A28" s="3">
        <v>510900</v>
      </c>
      <c r="B28" s="4" t="s">
        <v>152</v>
      </c>
      <c r="C28" s="6">
        <v>547.29</v>
      </c>
      <c r="D28" s="6">
        <v>6978.26</v>
      </c>
      <c r="E28" s="6">
        <v>4218</v>
      </c>
      <c r="F28" s="6">
        <v>1000</v>
      </c>
      <c r="G28" s="6">
        <v>0</v>
      </c>
    </row>
    <row r="29" spans="1:8" ht="15.75" x14ac:dyDescent="0.25">
      <c r="A29" s="3">
        <v>511000</v>
      </c>
      <c r="B29" s="4" t="s">
        <v>153</v>
      </c>
      <c r="C29" s="6">
        <v>2410.04</v>
      </c>
      <c r="D29" s="6">
        <v>3521.85</v>
      </c>
      <c r="E29" s="6">
        <v>3503.26</v>
      </c>
      <c r="F29" s="6">
        <v>2500</v>
      </c>
      <c r="G29" s="6">
        <v>2500</v>
      </c>
    </row>
    <row r="30" spans="1:8" ht="15.75" x14ac:dyDescent="0.25">
      <c r="A30" s="3">
        <v>511100</v>
      </c>
      <c r="B30" s="4" t="s">
        <v>155</v>
      </c>
      <c r="C30" s="6">
        <v>8093.3</v>
      </c>
      <c r="D30" s="6">
        <v>15836.18</v>
      </c>
      <c r="E30" s="6">
        <v>11557.36</v>
      </c>
      <c r="F30" s="6">
        <v>10000</v>
      </c>
      <c r="G30" s="6">
        <v>7000</v>
      </c>
    </row>
    <row r="31" spans="1:8" ht="15.75" x14ac:dyDescent="0.25">
      <c r="A31" s="3">
        <v>511200</v>
      </c>
      <c r="B31" s="4" t="s">
        <v>157</v>
      </c>
      <c r="C31" s="6">
        <v>39052.28</v>
      </c>
      <c r="D31" s="6">
        <v>40848.239999999998</v>
      </c>
      <c r="E31" s="6">
        <v>34425.96</v>
      </c>
      <c r="F31" s="6">
        <v>0</v>
      </c>
      <c r="G31" s="6">
        <v>0</v>
      </c>
    </row>
    <row r="32" spans="1:8" ht="15.75" x14ac:dyDescent="0.25">
      <c r="A32" s="3">
        <v>511250</v>
      </c>
      <c r="B32" s="4" t="s">
        <v>158</v>
      </c>
      <c r="C32" s="6">
        <v>3025.69</v>
      </c>
      <c r="D32" s="6">
        <v>2645.97</v>
      </c>
      <c r="E32" s="6">
        <v>4583.26</v>
      </c>
      <c r="F32" s="6">
        <v>0</v>
      </c>
      <c r="G32" s="6">
        <v>0</v>
      </c>
    </row>
    <row r="33" spans="1:7" ht="15.75" x14ac:dyDescent="0.25">
      <c r="A33" s="3">
        <v>511300</v>
      </c>
      <c r="B33" s="4" t="s">
        <v>159</v>
      </c>
      <c r="C33" s="6">
        <v>3047.13</v>
      </c>
      <c r="D33" s="6">
        <v>3240.61</v>
      </c>
      <c r="E33" s="6">
        <v>5680.39</v>
      </c>
      <c r="F33" s="6">
        <v>0</v>
      </c>
      <c r="G33" s="6">
        <v>0</v>
      </c>
    </row>
    <row r="34" spans="1:7" ht="15.75" x14ac:dyDescent="0.25">
      <c r="A34" s="3">
        <v>511350</v>
      </c>
      <c r="B34" s="4" t="s">
        <v>160</v>
      </c>
      <c r="C34" s="6">
        <v>2227.5</v>
      </c>
      <c r="D34" s="6">
        <v>2143.56</v>
      </c>
      <c r="E34" s="6">
        <v>2266.42</v>
      </c>
      <c r="F34" s="6">
        <v>0</v>
      </c>
      <c r="G34" s="6">
        <v>0</v>
      </c>
    </row>
    <row r="35" spans="1:7" ht="15.75" x14ac:dyDescent="0.25">
      <c r="A35" s="3">
        <v>519000</v>
      </c>
      <c r="B35" s="4" t="s">
        <v>125</v>
      </c>
      <c r="C35" s="6">
        <v>19222.97</v>
      </c>
      <c r="D35" s="6">
        <v>19662.240000000002</v>
      </c>
      <c r="E35" s="6">
        <v>5710.62</v>
      </c>
      <c r="F35" s="6">
        <v>1000</v>
      </c>
      <c r="G35" s="6">
        <f>5500-2000</f>
        <v>3500</v>
      </c>
    </row>
    <row r="36" spans="1:7" ht="15.75" x14ac:dyDescent="0.25">
      <c r="A36" s="3">
        <v>550025</v>
      </c>
      <c r="B36" s="4" t="s">
        <v>419</v>
      </c>
      <c r="C36" s="6">
        <v>1101.6300000000001</v>
      </c>
      <c r="D36" s="6">
        <v>1125</v>
      </c>
      <c r="E36" s="6">
        <v>3611.09</v>
      </c>
      <c r="F36" s="6">
        <v>750</v>
      </c>
      <c r="G36" s="6">
        <v>500</v>
      </c>
    </row>
    <row r="37" spans="1:7" ht="15.75" x14ac:dyDescent="0.25">
      <c r="A37" s="3">
        <v>550050</v>
      </c>
      <c r="B37" s="4" t="s">
        <v>203</v>
      </c>
      <c r="C37" s="6">
        <v>3140.99</v>
      </c>
      <c r="D37" s="6">
        <v>6972.76</v>
      </c>
      <c r="E37" s="6">
        <v>8552.2099999999991</v>
      </c>
      <c r="F37" s="6">
        <v>3200</v>
      </c>
      <c r="G37" s="6">
        <v>6500</v>
      </c>
    </row>
    <row r="38" spans="1:7" ht="15.75" x14ac:dyDescent="0.25">
      <c r="A38" s="3">
        <v>550100</v>
      </c>
      <c r="B38" s="4" t="s">
        <v>204</v>
      </c>
      <c r="C38" s="6">
        <v>11076.14</v>
      </c>
      <c r="D38" s="6">
        <v>6242.89</v>
      </c>
      <c r="E38" s="6">
        <v>15559.75</v>
      </c>
      <c r="F38" s="6">
        <v>15000</v>
      </c>
      <c r="G38" s="6">
        <v>0</v>
      </c>
    </row>
    <row r="39" spans="1:7" ht="15.75" x14ac:dyDescent="0.25">
      <c r="A39" s="3">
        <v>550150</v>
      </c>
      <c r="B39" s="4" t="s">
        <v>418</v>
      </c>
      <c r="C39" s="6">
        <v>0</v>
      </c>
      <c r="D39" s="6">
        <v>0</v>
      </c>
      <c r="E39" s="6">
        <v>0</v>
      </c>
      <c r="F39" s="6">
        <v>0</v>
      </c>
      <c r="G39" s="6">
        <v>10000</v>
      </c>
    </row>
    <row r="40" spans="1:7" ht="15.75" x14ac:dyDescent="0.25">
      <c r="A40" s="3">
        <v>550200</v>
      </c>
      <c r="B40" s="4" t="s">
        <v>205</v>
      </c>
      <c r="C40" s="6">
        <v>12609.21</v>
      </c>
      <c r="D40" s="6">
        <v>15329.86</v>
      </c>
      <c r="E40" s="6">
        <v>13069</v>
      </c>
      <c r="F40" s="6">
        <v>15000</v>
      </c>
      <c r="G40" s="6">
        <f>12000+2000</f>
        <v>14000</v>
      </c>
    </row>
    <row r="41" spans="1:7" ht="15.75" x14ac:dyDescent="0.25">
      <c r="A41" s="3">
        <v>550250</v>
      </c>
      <c r="B41" s="4" t="s">
        <v>206</v>
      </c>
      <c r="C41" s="6">
        <v>-7.77</v>
      </c>
      <c r="D41" s="6">
        <v>-16.03</v>
      </c>
      <c r="E41" s="6">
        <v>-12</v>
      </c>
      <c r="F41" s="6">
        <v>0</v>
      </c>
      <c r="G41" s="6">
        <v>0</v>
      </c>
    </row>
    <row r="42" spans="1:7" ht="16.5" thickBot="1" x14ac:dyDescent="0.3">
      <c r="A42" s="3">
        <v>550300</v>
      </c>
      <c r="B42" s="4" t="s">
        <v>207</v>
      </c>
      <c r="C42" s="6">
        <v>6500</v>
      </c>
      <c r="D42" s="6">
        <v>4500</v>
      </c>
      <c r="E42" s="6">
        <v>0</v>
      </c>
      <c r="F42" s="6">
        <v>0</v>
      </c>
      <c r="G42" s="6">
        <v>0</v>
      </c>
    </row>
    <row r="43" spans="1:7" ht="16.5" thickBot="1" x14ac:dyDescent="0.3">
      <c r="A43" s="7" t="s">
        <v>11</v>
      </c>
      <c r="B43" s="8"/>
      <c r="C43" s="30">
        <f>SUM(C17:C42)</f>
        <v>120656.65999999999</v>
      </c>
      <c r="D43" s="30">
        <f>SUM(D17:D42)</f>
        <v>144126.37999999998</v>
      </c>
      <c r="E43" s="30">
        <f>SUM(E17:E42)</f>
        <v>122224.95999999999</v>
      </c>
      <c r="F43" s="30">
        <f>SUM(F17:F42)</f>
        <v>54600</v>
      </c>
      <c r="G43" s="30">
        <f>SUM(G17:G42)</f>
        <v>55150</v>
      </c>
    </row>
    <row r="44" spans="1:7" ht="15.75" thickBot="1" x14ac:dyDescent="0.25"/>
    <row r="45" spans="1:7" ht="16.5" thickBot="1" x14ac:dyDescent="0.3">
      <c r="A45" s="9" t="s">
        <v>48</v>
      </c>
      <c r="B45" s="10"/>
      <c r="C45" s="10"/>
      <c r="D45" s="10"/>
      <c r="E45" s="10"/>
      <c r="F45" s="10"/>
      <c r="G45" s="10"/>
    </row>
    <row r="46" spans="1:7" ht="15" customHeight="1" x14ac:dyDescent="0.2">
      <c r="A46" s="150"/>
      <c r="B46" s="152" t="s">
        <v>12</v>
      </c>
      <c r="C46" s="154" t="s">
        <v>6</v>
      </c>
      <c r="D46" s="154" t="s">
        <v>5</v>
      </c>
      <c r="E46" s="154" t="s">
        <v>350</v>
      </c>
      <c r="F46" s="154" t="s">
        <v>349</v>
      </c>
      <c r="G46" s="154" t="s">
        <v>348</v>
      </c>
    </row>
    <row r="47" spans="1:7" ht="50.25" customHeight="1" thickBot="1" x14ac:dyDescent="0.25">
      <c r="A47" s="151"/>
      <c r="B47" s="153"/>
      <c r="C47" s="162"/>
      <c r="D47" s="162"/>
      <c r="E47" s="162"/>
      <c r="F47" s="162"/>
      <c r="G47" s="162"/>
    </row>
    <row r="48" spans="1:7" ht="15.75" x14ac:dyDescent="0.25">
      <c r="A48" s="3"/>
      <c r="B48" s="4" t="s">
        <v>13</v>
      </c>
      <c r="C48" s="47">
        <f>C13</f>
        <v>123193.17</v>
      </c>
      <c r="D48" s="47">
        <f>D13</f>
        <v>136497.95000000001</v>
      </c>
      <c r="E48" s="47">
        <f>E13</f>
        <v>147298.84000000003</v>
      </c>
      <c r="F48" s="47">
        <f>F13</f>
        <v>198641</v>
      </c>
      <c r="G48" s="47">
        <f>G13</f>
        <v>207175.04500000001</v>
      </c>
    </row>
    <row r="49" spans="1:7" ht="15.75" x14ac:dyDescent="0.25">
      <c r="A49" s="3"/>
      <c r="B49" s="4" t="s">
        <v>14</v>
      </c>
      <c r="C49" s="6">
        <f>C43</f>
        <v>120656.65999999999</v>
      </c>
      <c r="D49" s="6">
        <f>D43</f>
        <v>144126.37999999998</v>
      </c>
      <c r="E49" s="6">
        <f>E43</f>
        <v>122224.95999999999</v>
      </c>
      <c r="F49" s="6">
        <f>F43</f>
        <v>54600</v>
      </c>
      <c r="G49" s="6">
        <f>G43</f>
        <v>55150</v>
      </c>
    </row>
    <row r="50" spans="1:7" ht="15.75" x14ac:dyDescent="0.25">
      <c r="A50" s="3"/>
      <c r="B50" s="4" t="s">
        <v>29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ht="16.5" thickBot="1" x14ac:dyDescent="0.3">
      <c r="A51" s="3"/>
      <c r="B51" s="4" t="s">
        <v>15</v>
      </c>
      <c r="C51" s="6">
        <v>0</v>
      </c>
      <c r="D51" s="6">
        <v>0</v>
      </c>
      <c r="E51" s="6">
        <v>12155</v>
      </c>
      <c r="F51" s="6">
        <v>40000</v>
      </c>
      <c r="G51" s="6">
        <v>0</v>
      </c>
    </row>
    <row r="52" spans="1:7" ht="15.75" x14ac:dyDescent="0.25">
      <c r="A52" s="11" t="s">
        <v>16</v>
      </c>
      <c r="B52" s="12"/>
      <c r="C52" s="31">
        <f>SUM(C48:C51)</f>
        <v>243849.83</v>
      </c>
      <c r="D52" s="31">
        <f>SUM(D48:D51)</f>
        <v>280624.32999999996</v>
      </c>
      <c r="E52" s="31">
        <f>SUM(E48:E51)</f>
        <v>281678.80000000005</v>
      </c>
      <c r="F52" s="31">
        <f t="shared" ref="F52:G52" si="0">SUM(F48:F51)</f>
        <v>293241</v>
      </c>
      <c r="G52" s="31">
        <f t="shared" si="0"/>
        <v>262325.04500000004</v>
      </c>
    </row>
  </sheetData>
  <mergeCells count="9">
    <mergeCell ref="A1:G1"/>
    <mergeCell ref="G46:G47"/>
    <mergeCell ref="A2:F2"/>
    <mergeCell ref="A46:A47"/>
    <mergeCell ref="B46:B47"/>
    <mergeCell ref="C46:C47"/>
    <mergeCell ref="D46:D47"/>
    <mergeCell ref="E46:E47"/>
    <mergeCell ref="F46:F47"/>
  </mergeCells>
  <pageMargins left="0.45" right="0.45" top="0.75" bottom="0.75" header="0.3" footer="0.3"/>
  <pageSetup scale="61" fitToHeight="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2026-CB63-4E2F-B1CF-AF5B9C18404E}">
  <sheetPr>
    <pageSetUpPr fitToPage="1"/>
  </sheetPr>
  <dimension ref="A1:H36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8" width="28.85546875" style="2" customWidth="1"/>
    <col min="9" max="16384" width="9.140625" style="2"/>
  </cols>
  <sheetData>
    <row r="1" spans="1:8" ht="34.5" x14ac:dyDescent="0.45">
      <c r="A1" s="144" t="s">
        <v>28</v>
      </c>
      <c r="B1" s="144"/>
      <c r="C1" s="144"/>
      <c r="D1" s="144"/>
      <c r="E1" s="144"/>
      <c r="F1" s="144"/>
      <c r="G1" s="144"/>
    </row>
    <row r="2" spans="1:8" x14ac:dyDescent="0.2">
      <c r="A2" s="145"/>
      <c r="B2" s="145"/>
      <c r="C2" s="145"/>
      <c r="D2" s="145"/>
      <c r="E2" s="145"/>
      <c r="F2" s="145"/>
    </row>
    <row r="3" spans="1:8" ht="15.75" thickBot="1" x14ac:dyDescent="0.25">
      <c r="A3" s="1" t="s">
        <v>8</v>
      </c>
      <c r="B3" s="1"/>
      <c r="C3" s="1"/>
      <c r="D3" s="1"/>
      <c r="E3" s="1"/>
      <c r="F3" s="1"/>
      <c r="G3" s="1"/>
    </row>
    <row r="4" spans="1:8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8" ht="15.75" x14ac:dyDescent="0.25">
      <c r="A5" s="3">
        <v>500250</v>
      </c>
      <c r="B5" s="4" t="s">
        <v>163</v>
      </c>
      <c r="C5" s="36">
        <v>2943.75</v>
      </c>
      <c r="D5" s="36">
        <v>2244</v>
      </c>
      <c r="E5" s="36">
        <v>2564</v>
      </c>
      <c r="F5" s="36">
        <v>3000</v>
      </c>
      <c r="G5" s="36">
        <v>3000</v>
      </c>
    </row>
    <row r="6" spans="1:8" ht="15.75" x14ac:dyDescent="0.25">
      <c r="A6" s="3">
        <v>501100</v>
      </c>
      <c r="B6" s="4" t="s">
        <v>123</v>
      </c>
      <c r="C6" s="6">
        <v>534.66</v>
      </c>
      <c r="D6" s="6">
        <v>558</v>
      </c>
      <c r="E6" s="6">
        <v>627</v>
      </c>
      <c r="F6" s="6">
        <v>0</v>
      </c>
      <c r="G6" s="6">
        <v>0</v>
      </c>
    </row>
    <row r="7" spans="1:8" ht="15.75" x14ac:dyDescent="0.25">
      <c r="A7" s="3">
        <v>501150</v>
      </c>
      <c r="B7" s="4" t="s">
        <v>129</v>
      </c>
      <c r="C7" s="6">
        <v>1073.8</v>
      </c>
      <c r="D7" s="6">
        <v>1134.9000000000001</v>
      </c>
      <c r="E7" s="6">
        <v>1170</v>
      </c>
      <c r="F7" s="6">
        <v>10</v>
      </c>
      <c r="G7" s="6">
        <v>1150</v>
      </c>
      <c r="H7" s="116" t="s">
        <v>430</v>
      </c>
    </row>
    <row r="8" spans="1:8" ht="15.75" x14ac:dyDescent="0.25">
      <c r="A8" s="3">
        <v>501250</v>
      </c>
      <c r="B8" s="4" t="s">
        <v>124</v>
      </c>
      <c r="C8" s="6">
        <v>4400.21</v>
      </c>
      <c r="D8" s="6">
        <v>-39370.699999999997</v>
      </c>
      <c r="E8" s="6">
        <v>1517</v>
      </c>
      <c r="F8" s="6">
        <v>0</v>
      </c>
      <c r="G8" s="6">
        <v>0</v>
      </c>
    </row>
    <row r="9" spans="1:8" ht="15.75" x14ac:dyDescent="0.25">
      <c r="A9" s="3">
        <v>511000</v>
      </c>
      <c r="B9" s="4" t="s">
        <v>153</v>
      </c>
      <c r="C9" s="6">
        <v>2.39</v>
      </c>
      <c r="D9" s="6">
        <v>102684.54</v>
      </c>
      <c r="E9" s="6">
        <v>51333</v>
      </c>
      <c r="F9" s="6">
        <v>0</v>
      </c>
      <c r="G9" s="6">
        <v>0</v>
      </c>
    </row>
    <row r="10" spans="1:8" ht="15.75" x14ac:dyDescent="0.25">
      <c r="A10" s="3">
        <v>511200</v>
      </c>
      <c r="B10" s="4" t="s">
        <v>157</v>
      </c>
      <c r="C10" s="6">
        <v>0</v>
      </c>
      <c r="D10" s="6">
        <v>0</v>
      </c>
      <c r="E10" s="6">
        <v>0</v>
      </c>
      <c r="F10" s="6">
        <f>Finance!E44+RPD!E37+RFD!E31+Rescue!E36+Streets!E30+Parks!E31</f>
        <v>121065.57999999999</v>
      </c>
      <c r="G10" s="6">
        <v>115000</v>
      </c>
    </row>
    <row r="11" spans="1:8" ht="15.75" x14ac:dyDescent="0.25">
      <c r="A11" s="3">
        <v>511250</v>
      </c>
      <c r="B11" s="4" t="s">
        <v>158</v>
      </c>
      <c r="C11" s="6">
        <v>0</v>
      </c>
      <c r="D11" s="6">
        <v>0</v>
      </c>
      <c r="E11" s="6">
        <v>0</v>
      </c>
      <c r="F11" s="6">
        <f>Finance!E45+RPD!E38+RFD!E32+Rescue!E37+Streets!E31+Parks!E32</f>
        <v>8046.8200000000006</v>
      </c>
      <c r="G11" s="6">
        <v>9500</v>
      </c>
    </row>
    <row r="12" spans="1:8" ht="15.75" x14ac:dyDescent="0.25">
      <c r="A12" s="3">
        <v>511300</v>
      </c>
      <c r="B12" s="4" t="s">
        <v>159</v>
      </c>
      <c r="C12" s="6">
        <v>0</v>
      </c>
      <c r="D12" s="6">
        <v>0</v>
      </c>
      <c r="E12" s="6">
        <v>0</v>
      </c>
      <c r="F12" s="6">
        <f>Finance!E46+RPD!E39+RFD!E33+Rescue!E38+Streets!E32+Parks!E33</f>
        <v>8691.16</v>
      </c>
      <c r="G12" s="6">
        <v>10500</v>
      </c>
    </row>
    <row r="13" spans="1:8" ht="15.75" x14ac:dyDescent="0.25">
      <c r="A13" s="3">
        <v>511350</v>
      </c>
      <c r="B13" s="4" t="s">
        <v>160</v>
      </c>
      <c r="C13" s="6">
        <v>0</v>
      </c>
      <c r="D13" s="6">
        <v>0</v>
      </c>
      <c r="E13" s="6">
        <v>0</v>
      </c>
      <c r="F13" s="6">
        <f>Finance!E47+RPD!E40+RFD!E34+Rescue!E39+Streets!E33+Parks!E34+250</f>
        <v>5446.17</v>
      </c>
      <c r="G13" s="6">
        <v>6500</v>
      </c>
    </row>
    <row r="14" spans="1:8" ht="15.75" x14ac:dyDescent="0.25">
      <c r="A14" s="3">
        <v>519000</v>
      </c>
      <c r="B14" s="4" t="s">
        <v>125</v>
      </c>
      <c r="C14" s="6">
        <v>694.25</v>
      </c>
      <c r="D14" s="6" t="s">
        <v>215</v>
      </c>
      <c r="E14" s="6">
        <v>0</v>
      </c>
      <c r="F14" s="6">
        <v>0</v>
      </c>
      <c r="G14" s="6">
        <v>0</v>
      </c>
    </row>
    <row r="15" spans="1:8" ht="15.75" x14ac:dyDescent="0.25">
      <c r="A15" s="3">
        <v>525155</v>
      </c>
      <c r="B15" s="4" t="s">
        <v>208</v>
      </c>
      <c r="C15" s="6">
        <v>1452.6</v>
      </c>
      <c r="D15" s="6">
        <v>850</v>
      </c>
      <c r="E15" s="6">
        <v>925</v>
      </c>
      <c r="F15" s="6">
        <v>725</v>
      </c>
      <c r="G15" s="6">
        <v>1000</v>
      </c>
    </row>
    <row r="16" spans="1:8" ht="15.75" x14ac:dyDescent="0.25">
      <c r="A16" s="3">
        <v>525160</v>
      </c>
      <c r="B16" s="4" t="s">
        <v>209</v>
      </c>
      <c r="C16" s="6">
        <v>604.09</v>
      </c>
      <c r="D16" s="6">
        <v>582.32000000000005</v>
      </c>
      <c r="E16" s="6">
        <v>1576</v>
      </c>
      <c r="F16" s="6">
        <v>500</v>
      </c>
      <c r="G16" s="6">
        <v>700</v>
      </c>
    </row>
    <row r="17" spans="1:7" ht="15.75" x14ac:dyDescent="0.25">
      <c r="A17" s="3">
        <v>525170</v>
      </c>
      <c r="B17" s="4" t="s">
        <v>210</v>
      </c>
      <c r="C17" s="6">
        <v>1856.43</v>
      </c>
      <c r="D17" s="6">
        <v>2025.61</v>
      </c>
      <c r="E17" s="6">
        <v>2525</v>
      </c>
      <c r="F17" s="6">
        <v>2500</v>
      </c>
      <c r="G17" s="6">
        <v>2000</v>
      </c>
    </row>
    <row r="18" spans="1:7" ht="15.75" x14ac:dyDescent="0.25">
      <c r="A18" s="3">
        <v>525175</v>
      </c>
      <c r="B18" s="4" t="s">
        <v>211</v>
      </c>
      <c r="C18" s="6">
        <v>671.62</v>
      </c>
      <c r="D18" s="6">
        <v>877.43</v>
      </c>
      <c r="E18" s="6">
        <v>939</v>
      </c>
      <c r="F18" s="6">
        <v>750</v>
      </c>
      <c r="G18" s="6">
        <v>750</v>
      </c>
    </row>
    <row r="19" spans="1:7" ht="15.75" x14ac:dyDescent="0.25">
      <c r="A19" s="3">
        <v>525180</v>
      </c>
      <c r="B19" s="4" t="s">
        <v>291</v>
      </c>
      <c r="C19" s="6">
        <v>0</v>
      </c>
      <c r="D19" s="6">
        <v>81.58</v>
      </c>
      <c r="E19" s="6">
        <v>232</v>
      </c>
      <c r="F19" s="6">
        <v>0</v>
      </c>
      <c r="G19" s="6">
        <v>0</v>
      </c>
    </row>
    <row r="20" spans="1:7" ht="15.75" x14ac:dyDescent="0.25">
      <c r="A20" s="3">
        <v>525200</v>
      </c>
      <c r="B20" s="4" t="s">
        <v>289</v>
      </c>
      <c r="C20" s="6">
        <v>0</v>
      </c>
      <c r="D20" s="6">
        <v>1000</v>
      </c>
      <c r="E20" s="6">
        <v>0</v>
      </c>
      <c r="F20" s="6">
        <v>0</v>
      </c>
      <c r="G20" s="6">
        <v>0</v>
      </c>
    </row>
    <row r="21" spans="1:7" ht="15.75" x14ac:dyDescent="0.25">
      <c r="A21" s="3">
        <v>525250</v>
      </c>
      <c r="B21" s="4" t="s">
        <v>222</v>
      </c>
      <c r="C21" s="6">
        <v>10000</v>
      </c>
      <c r="D21" s="6">
        <v>10000</v>
      </c>
      <c r="E21" s="6">
        <v>10000</v>
      </c>
      <c r="F21" s="6">
        <v>10200</v>
      </c>
      <c r="G21" s="6"/>
    </row>
    <row r="22" spans="1:7" ht="15.75" x14ac:dyDescent="0.25">
      <c r="A22" s="3">
        <v>525300</v>
      </c>
      <c r="B22" s="4" t="s">
        <v>212</v>
      </c>
      <c r="C22" s="6">
        <v>0</v>
      </c>
      <c r="D22" s="6">
        <v>312.99</v>
      </c>
      <c r="E22" s="6">
        <v>0</v>
      </c>
      <c r="F22" s="6">
        <v>500</v>
      </c>
      <c r="G22" s="6">
        <v>1000</v>
      </c>
    </row>
    <row r="23" spans="1:7" ht="15.75" x14ac:dyDescent="0.25">
      <c r="A23" s="3">
        <v>525325</v>
      </c>
      <c r="B23" s="4" t="s">
        <v>213</v>
      </c>
      <c r="C23" s="6">
        <v>6096.09</v>
      </c>
      <c r="D23" s="6">
        <v>8770.52</v>
      </c>
      <c r="E23" s="6">
        <v>5017</v>
      </c>
      <c r="F23" s="6">
        <v>5000</v>
      </c>
      <c r="G23" s="6">
        <f>3500+23000</f>
        <v>26500</v>
      </c>
    </row>
    <row r="24" spans="1:7" ht="16.5" thickBot="1" x14ac:dyDescent="0.3">
      <c r="A24" s="3">
        <v>525350</v>
      </c>
      <c r="B24" s="4" t="s">
        <v>214</v>
      </c>
      <c r="C24" s="6">
        <v>1599</v>
      </c>
      <c r="D24" s="6">
        <v>11722.71</v>
      </c>
      <c r="E24" s="6">
        <v>5736</v>
      </c>
      <c r="F24" s="6">
        <v>1600</v>
      </c>
      <c r="G24" s="6">
        <v>0</v>
      </c>
    </row>
    <row r="25" spans="1:7" ht="16.5" thickBot="1" x14ac:dyDescent="0.3">
      <c r="A25" s="7" t="s">
        <v>11</v>
      </c>
      <c r="B25" s="8"/>
      <c r="C25" s="30">
        <f>SUM(C5:C24)</f>
        <v>31928.890000000003</v>
      </c>
      <c r="D25" s="30">
        <f>SUM(D5:D24)</f>
        <v>103473.9</v>
      </c>
      <c r="E25" s="30">
        <f>SUM(E5:E24)</f>
        <v>84161</v>
      </c>
      <c r="F25" s="30">
        <f>SUM(F5:F24)</f>
        <v>168034.73</v>
      </c>
      <c r="G25" s="30">
        <f>SUM(G5:G24)</f>
        <v>177600</v>
      </c>
    </row>
    <row r="26" spans="1:7" ht="15.75" thickBot="1" x14ac:dyDescent="0.25"/>
    <row r="27" spans="1:7" ht="16.5" thickBot="1" x14ac:dyDescent="0.3">
      <c r="A27" s="9" t="s">
        <v>48</v>
      </c>
      <c r="B27" s="10"/>
      <c r="C27" s="10"/>
      <c r="D27" s="10"/>
      <c r="E27" s="10"/>
      <c r="F27" s="10"/>
      <c r="G27" s="10"/>
    </row>
    <row r="28" spans="1:7" ht="15" customHeight="1" x14ac:dyDescent="0.2">
      <c r="A28" s="150"/>
      <c r="B28" s="152" t="s">
        <v>12</v>
      </c>
      <c r="C28" s="154" t="s">
        <v>6</v>
      </c>
      <c r="D28" s="154" t="s">
        <v>5</v>
      </c>
      <c r="E28" s="154" t="s">
        <v>350</v>
      </c>
      <c r="F28" s="154" t="s">
        <v>349</v>
      </c>
      <c r="G28" s="154" t="s">
        <v>348</v>
      </c>
    </row>
    <row r="29" spans="1:7" ht="42.75" customHeight="1" thickBot="1" x14ac:dyDescent="0.25">
      <c r="A29" s="151"/>
      <c r="B29" s="153"/>
      <c r="C29" s="162"/>
      <c r="D29" s="162"/>
      <c r="E29" s="162"/>
      <c r="F29" s="162"/>
      <c r="G29" s="162"/>
    </row>
    <row r="30" spans="1:7" ht="15.75" x14ac:dyDescent="0.25">
      <c r="A30" s="3"/>
      <c r="B30" s="4" t="s">
        <v>13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ht="15.75" x14ac:dyDescent="0.25">
      <c r="A31" s="3"/>
      <c r="B31" s="4" t="s">
        <v>14</v>
      </c>
      <c r="C31" s="6">
        <f>C25</f>
        <v>31928.890000000003</v>
      </c>
      <c r="D31" s="6">
        <f>D25</f>
        <v>103473.9</v>
      </c>
      <c r="E31" s="6">
        <f>E25</f>
        <v>84161</v>
      </c>
      <c r="F31" s="6">
        <f>F25</f>
        <v>168034.73</v>
      </c>
      <c r="G31" s="6">
        <f>G25</f>
        <v>177600</v>
      </c>
    </row>
    <row r="32" spans="1:7" ht="16.5" thickBot="1" x14ac:dyDescent="0.3">
      <c r="A32" s="3"/>
      <c r="B32" s="4" t="s">
        <v>15</v>
      </c>
      <c r="C32" s="6">
        <v>115469.67</v>
      </c>
      <c r="D32" s="6">
        <v>0</v>
      </c>
      <c r="E32" s="6">
        <v>63535</v>
      </c>
      <c r="F32" s="6">
        <v>0</v>
      </c>
      <c r="G32" s="6">
        <v>0</v>
      </c>
    </row>
    <row r="33" spans="1:7" ht="15.75" x14ac:dyDescent="0.25">
      <c r="A33" s="11" t="s">
        <v>16</v>
      </c>
      <c r="B33" s="12"/>
      <c r="C33" s="31">
        <f>SUM(C30:C32)</f>
        <v>147398.56</v>
      </c>
      <c r="D33" s="31">
        <f>SUM(D30:D32)</f>
        <v>103473.9</v>
      </c>
      <c r="E33" s="31">
        <f>SUM(E30:E32)</f>
        <v>147696</v>
      </c>
      <c r="F33" s="31">
        <f>SUM(F30:F32)</f>
        <v>168034.73</v>
      </c>
      <c r="G33" s="31">
        <f>SUM(G30:G32)</f>
        <v>177600</v>
      </c>
    </row>
    <row r="36" spans="1:7" x14ac:dyDescent="0.2">
      <c r="E36" s="37" t="s">
        <v>215</v>
      </c>
    </row>
  </sheetData>
  <mergeCells count="9">
    <mergeCell ref="A1:G1"/>
    <mergeCell ref="G28:G29"/>
    <mergeCell ref="A2:F2"/>
    <mergeCell ref="A28:A29"/>
    <mergeCell ref="B28:B29"/>
    <mergeCell ref="C28:C29"/>
    <mergeCell ref="D28:D29"/>
    <mergeCell ref="E28:E29"/>
    <mergeCell ref="F28:F29"/>
  </mergeCells>
  <pageMargins left="0.45" right="0.45" top="0.75" bottom="0.75" header="0.3" footer="0.3"/>
  <pageSetup scale="74" fitToHeight="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2EC7-03DE-4F65-A041-366CCD3601A4}">
  <sheetPr>
    <pageSetUpPr fitToPage="1"/>
  </sheetPr>
  <dimension ref="A1:S96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53.28515625" style="2" bestFit="1" customWidth="1"/>
    <col min="3" max="6" width="21" style="2" customWidth="1"/>
    <col min="7" max="7" width="22.28515625" style="2" customWidth="1"/>
    <col min="8" max="9" width="0" style="2" hidden="1" customWidth="1"/>
    <col min="10" max="10" width="36.140625" style="2" hidden="1" customWidth="1"/>
    <col min="11" max="11" width="40" style="2" hidden="1" customWidth="1"/>
    <col min="12" max="12" width="15" style="2" hidden="1" customWidth="1"/>
    <col min="13" max="14" width="0" style="2" hidden="1" customWidth="1"/>
    <col min="15" max="15" width="26.85546875" style="2" hidden="1" customWidth="1"/>
    <col min="16" max="16" width="15" style="2" hidden="1" customWidth="1"/>
    <col min="17" max="17" width="0" style="2" hidden="1" customWidth="1"/>
    <col min="18" max="18" width="19.42578125" style="2" customWidth="1"/>
    <col min="19" max="16384" width="9.140625" style="2"/>
  </cols>
  <sheetData>
    <row r="1" spans="1:19" ht="34.5" x14ac:dyDescent="0.45">
      <c r="A1" s="144" t="s">
        <v>333</v>
      </c>
      <c r="B1" s="144"/>
      <c r="C1" s="144"/>
      <c r="D1" s="144"/>
      <c r="E1" s="144"/>
      <c r="F1" s="144"/>
      <c r="G1" s="144"/>
    </row>
    <row r="2" spans="1:19" x14ac:dyDescent="0.2">
      <c r="A2" s="145"/>
      <c r="B2" s="145"/>
      <c r="C2" s="145"/>
      <c r="D2" s="145"/>
      <c r="E2" s="145"/>
      <c r="F2" s="145"/>
    </row>
    <row r="3" spans="1:19" ht="15.75" thickBot="1" x14ac:dyDescent="0.25">
      <c r="A3" s="1" t="s">
        <v>333</v>
      </c>
      <c r="B3" s="1"/>
      <c r="C3" s="1"/>
      <c r="D3" s="1"/>
      <c r="E3" s="1"/>
      <c r="F3" s="1"/>
      <c r="G3" s="1"/>
    </row>
    <row r="4" spans="1:19" ht="31.5" x14ac:dyDescent="0.2">
      <c r="A4" s="5" t="s">
        <v>1</v>
      </c>
      <c r="B4" s="5" t="s">
        <v>2</v>
      </c>
      <c r="C4" s="5" t="s">
        <v>6</v>
      </c>
      <c r="D4" s="5" t="s">
        <v>5</v>
      </c>
      <c r="E4" s="5" t="s">
        <v>350</v>
      </c>
      <c r="F4" s="5" t="s">
        <v>349</v>
      </c>
      <c r="G4" s="5" t="s">
        <v>357</v>
      </c>
      <c r="K4" s="2" t="s">
        <v>215</v>
      </c>
      <c r="L4" s="37" t="s">
        <v>215</v>
      </c>
    </row>
    <row r="5" spans="1:19" ht="15.75" x14ac:dyDescent="0.25">
      <c r="A5" s="45">
        <v>413300</v>
      </c>
      <c r="B5" s="46" t="s">
        <v>68</v>
      </c>
      <c r="C5" s="36">
        <v>734.83</v>
      </c>
      <c r="D5" s="36">
        <v>767.05</v>
      </c>
      <c r="E5" s="36">
        <v>2345</v>
      </c>
      <c r="F5" s="36">
        <v>750</v>
      </c>
      <c r="G5" s="36">
        <v>2700</v>
      </c>
      <c r="K5" s="2" t="str">
        <f t="shared" ref="K5:K14" si="0">B6</f>
        <v>CONTRACT WORK-WATER PLANT</v>
      </c>
      <c r="L5" s="37">
        <f t="shared" ref="L5:L14" si="1">F6</f>
        <v>0</v>
      </c>
    </row>
    <row r="6" spans="1:19" ht="15.75" x14ac:dyDescent="0.25">
      <c r="A6" s="3">
        <v>413500</v>
      </c>
      <c r="B6" s="4" t="s">
        <v>226</v>
      </c>
      <c r="C6" s="6">
        <v>222.18</v>
      </c>
      <c r="D6" s="6">
        <v>183.85</v>
      </c>
      <c r="E6" s="6"/>
      <c r="F6" s="6"/>
      <c r="G6" s="6"/>
      <c r="K6" s="2" t="str">
        <f t="shared" si="0"/>
        <v>WATER COLLECTIONS</v>
      </c>
      <c r="L6" s="37">
        <f t="shared" si="1"/>
        <v>1100000</v>
      </c>
      <c r="O6" s="2" t="str">
        <f>K6</f>
        <v>WATER COLLECTIONS</v>
      </c>
      <c r="P6" s="37">
        <f>L6</f>
        <v>1100000</v>
      </c>
    </row>
    <row r="7" spans="1:19" ht="15.75" x14ac:dyDescent="0.25">
      <c r="A7" s="3">
        <v>420050</v>
      </c>
      <c r="B7" s="4" t="s">
        <v>227</v>
      </c>
      <c r="C7" s="6">
        <v>803021.81</v>
      </c>
      <c r="D7" s="6">
        <v>793157.45</v>
      </c>
      <c r="E7" s="6">
        <v>786311</v>
      </c>
      <c r="F7" s="6">
        <v>1100000</v>
      </c>
      <c r="G7" s="6">
        <f>(747837+716657+3356+13164+616455+3120+227-221924)*1.0232</f>
        <v>1922482.2944000002</v>
      </c>
      <c r="K7" s="2" t="str">
        <f t="shared" si="0"/>
        <v>PENALTIES</v>
      </c>
      <c r="L7" s="37">
        <f t="shared" si="1"/>
        <v>12000</v>
      </c>
      <c r="O7" s="2" t="s">
        <v>340</v>
      </c>
      <c r="P7" s="37">
        <f>L13</f>
        <v>615396</v>
      </c>
      <c r="R7" s="37">
        <f>G7-F7</f>
        <v>822482.29440000025</v>
      </c>
      <c r="S7" s="95"/>
    </row>
    <row r="8" spans="1:19" ht="15.75" x14ac:dyDescent="0.25">
      <c r="A8" s="3">
        <v>420200</v>
      </c>
      <c r="B8" s="4" t="s">
        <v>87</v>
      </c>
      <c r="C8" s="6">
        <v>10128.43</v>
      </c>
      <c r="D8" s="6">
        <v>11953.1</v>
      </c>
      <c r="E8" s="6">
        <v>12472</v>
      </c>
      <c r="F8" s="6">
        <v>12000</v>
      </c>
      <c r="G8" s="6">
        <v>14000</v>
      </c>
      <c r="K8" s="2" t="str">
        <f t="shared" si="0"/>
        <v>SERVICE CHARGES</v>
      </c>
      <c r="L8" s="37">
        <f t="shared" si="1"/>
        <v>5500</v>
      </c>
      <c r="O8" s="2" t="s">
        <v>341</v>
      </c>
      <c r="P8" s="37">
        <f>L7+L8+L9+L11+L14+L15+L12+F5</f>
        <v>98750</v>
      </c>
    </row>
    <row r="9" spans="1:19" ht="15.75" x14ac:dyDescent="0.25">
      <c r="A9" s="3">
        <v>420250</v>
      </c>
      <c r="B9" s="4" t="s">
        <v>228</v>
      </c>
      <c r="C9" s="6">
        <v>6884.7</v>
      </c>
      <c r="D9" s="6">
        <v>5524.2</v>
      </c>
      <c r="E9" s="6">
        <v>3449</v>
      </c>
      <c r="F9" s="6">
        <v>5500</v>
      </c>
      <c r="G9" s="6">
        <v>2600</v>
      </c>
      <c r="K9" s="2" t="str">
        <f t="shared" si="0"/>
        <v>WATER TAPS</v>
      </c>
      <c r="L9" s="37">
        <f t="shared" si="1"/>
        <v>3000</v>
      </c>
    </row>
    <row r="10" spans="1:19" ht="15.75" x14ac:dyDescent="0.25">
      <c r="A10" s="3">
        <v>420300</v>
      </c>
      <c r="B10" s="4" t="s">
        <v>229</v>
      </c>
      <c r="C10" s="6">
        <v>5600</v>
      </c>
      <c r="D10" s="6">
        <v>3300</v>
      </c>
      <c r="E10" s="6">
        <v>7150</v>
      </c>
      <c r="F10" s="6">
        <v>3000</v>
      </c>
      <c r="G10" s="6">
        <v>8500</v>
      </c>
      <c r="K10" s="2" t="str">
        <f t="shared" si="0"/>
        <v>MISCELLANEOUS REVENUE</v>
      </c>
      <c r="L10" s="37">
        <f t="shared" si="1"/>
        <v>0</v>
      </c>
    </row>
    <row r="11" spans="1:19" ht="15.75" x14ac:dyDescent="0.25">
      <c r="A11" s="3">
        <v>430000</v>
      </c>
      <c r="B11" s="4" t="s">
        <v>91</v>
      </c>
      <c r="C11" s="6">
        <v>0</v>
      </c>
      <c r="D11" s="6">
        <v>39.24</v>
      </c>
      <c r="E11" s="6"/>
      <c r="F11" s="6">
        <v>0</v>
      </c>
      <c r="G11" s="6">
        <v>0</v>
      </c>
      <c r="K11" s="2" t="str">
        <f t="shared" si="0"/>
        <v>INTEREST INCOME-WAT DEBT</v>
      </c>
      <c r="L11" s="37">
        <f t="shared" si="1"/>
        <v>1000</v>
      </c>
    </row>
    <row r="12" spans="1:19" ht="15.75" x14ac:dyDescent="0.25">
      <c r="A12" s="3">
        <v>413310</v>
      </c>
      <c r="B12" s="4" t="s">
        <v>230</v>
      </c>
      <c r="C12" s="6">
        <v>1376.96</v>
      </c>
      <c r="D12" s="6">
        <v>1379.02</v>
      </c>
      <c r="E12" s="6">
        <v>1385</v>
      </c>
      <c r="F12" s="6">
        <v>1000</v>
      </c>
      <c r="G12" s="6">
        <v>1400</v>
      </c>
      <c r="K12" s="2" t="str">
        <f t="shared" si="0"/>
        <v>CEDAR BLUFF WATER COLL</v>
      </c>
      <c r="L12" s="37">
        <f t="shared" si="1"/>
        <v>75000</v>
      </c>
    </row>
    <row r="13" spans="1:19" ht="15.75" x14ac:dyDescent="0.25">
      <c r="A13" s="3">
        <v>440000</v>
      </c>
      <c r="B13" s="4" t="s">
        <v>231</v>
      </c>
      <c r="C13" s="6">
        <v>68964</v>
      </c>
      <c r="D13" s="6">
        <v>74508</v>
      </c>
      <c r="E13" s="6">
        <v>85416</v>
      </c>
      <c r="F13" s="6">
        <v>75000</v>
      </c>
      <c r="G13" s="6">
        <v>80000</v>
      </c>
      <c r="K13" s="2" t="str">
        <f t="shared" si="0"/>
        <v>TAZ. PSA WATER COLL</v>
      </c>
      <c r="L13" s="37">
        <f t="shared" si="1"/>
        <v>615396</v>
      </c>
    </row>
    <row r="14" spans="1:19" ht="15.75" x14ac:dyDescent="0.25">
      <c r="A14" s="3">
        <v>440100</v>
      </c>
      <c r="B14" s="4" t="s">
        <v>232</v>
      </c>
      <c r="C14" s="6">
        <v>436698</v>
      </c>
      <c r="D14" s="6">
        <v>461634</v>
      </c>
      <c r="E14" s="6">
        <v>481310</v>
      </c>
      <c r="F14" s="6">
        <v>615396</v>
      </c>
      <c r="G14" s="6">
        <v>512000</v>
      </c>
      <c r="K14" s="2" t="str">
        <f t="shared" si="0"/>
        <v>CEDAR BLUFF-Wat Debt</v>
      </c>
      <c r="L14" s="37">
        <f t="shared" si="1"/>
        <v>1500</v>
      </c>
    </row>
    <row r="15" spans="1:19" ht="15.75" x14ac:dyDescent="0.25">
      <c r="A15" s="3">
        <v>440200</v>
      </c>
      <c r="B15" s="4" t="s">
        <v>233</v>
      </c>
      <c r="C15" s="6">
        <v>996</v>
      </c>
      <c r="D15" s="6">
        <v>996</v>
      </c>
      <c r="E15" s="6">
        <v>996</v>
      </c>
      <c r="F15" s="6">
        <v>1500</v>
      </c>
      <c r="G15" s="103">
        <f>1000</f>
        <v>1000</v>
      </c>
      <c r="K15" s="2" t="str">
        <f>B18</f>
        <v>TZ CO PSA - UPGRADE DEBT</v>
      </c>
      <c r="L15" s="37">
        <f>F18</f>
        <v>0</v>
      </c>
      <c r="R15" s="166"/>
    </row>
    <row r="16" spans="1:19" ht="15.75" x14ac:dyDescent="0.25">
      <c r="A16" s="3">
        <v>440300</v>
      </c>
      <c r="B16" s="4" t="s">
        <v>234</v>
      </c>
      <c r="C16" s="6">
        <v>2598</v>
      </c>
      <c r="D16" s="6">
        <v>2598</v>
      </c>
      <c r="E16" s="6">
        <v>2382</v>
      </c>
      <c r="F16" s="6">
        <v>3000</v>
      </c>
      <c r="G16" s="6">
        <f>2600</f>
        <v>2600</v>
      </c>
      <c r="L16" s="37"/>
      <c r="R16" s="166"/>
    </row>
    <row r="17" spans="1:18" ht="15.75" x14ac:dyDescent="0.25">
      <c r="A17" s="3" t="s">
        <v>443</v>
      </c>
      <c r="B17" s="4" t="s">
        <v>442</v>
      </c>
      <c r="C17" s="6"/>
      <c r="D17" s="6"/>
      <c r="E17" s="6"/>
      <c r="F17" s="6"/>
      <c r="G17" s="119">
        <f>'WA TR PL'!G71</f>
        <v>61645.472165068262</v>
      </c>
      <c r="L17" s="37"/>
      <c r="R17" s="166"/>
    </row>
    <row r="18" spans="1:18" ht="19.5" customHeight="1" thickBot="1" x14ac:dyDescent="0.3">
      <c r="A18" s="3" t="s">
        <v>443</v>
      </c>
      <c r="B18" s="4" t="s">
        <v>444</v>
      </c>
      <c r="C18" s="6"/>
      <c r="D18" s="6"/>
      <c r="E18" s="6"/>
      <c r="F18" s="6"/>
      <c r="G18" s="6">
        <f>'WA TR PL'!G70</f>
        <v>160278.22762917748</v>
      </c>
      <c r="K18" s="2">
        <f>B19</f>
        <v>0</v>
      </c>
      <c r="L18" s="37">
        <f>F19</f>
        <v>1817146</v>
      </c>
      <c r="R18" s="167"/>
    </row>
    <row r="19" spans="1:18" ht="16.5" thickBot="1" x14ac:dyDescent="0.3">
      <c r="A19" s="7" t="s">
        <v>337</v>
      </c>
      <c r="B19" s="8"/>
      <c r="C19" s="30">
        <f>SUM(C5:C18)</f>
        <v>1337224.9100000001</v>
      </c>
      <c r="D19" s="30">
        <f>SUM(D5:D18)</f>
        <v>1356039.91</v>
      </c>
      <c r="E19" s="30">
        <f>SUM(E5:E18)</f>
        <v>1383216</v>
      </c>
      <c r="F19" s="30">
        <f>SUM(F5:F18)</f>
        <v>1817146</v>
      </c>
      <c r="G19" s="30">
        <f>SUM(G5:G18)</f>
        <v>2769205.9941942454</v>
      </c>
      <c r="K19" s="2" t="s">
        <v>215</v>
      </c>
    </row>
    <row r="21" spans="1:18" x14ac:dyDescent="0.2">
      <c r="G21" s="37">
        <f>G19-'WA TR PL'!G62</f>
        <v>762053.10719424533</v>
      </c>
    </row>
    <row r="23" spans="1:18" ht="18" x14ac:dyDescent="0.25">
      <c r="C23" s="168" t="s">
        <v>387</v>
      </c>
      <c r="D23" s="168"/>
    </row>
    <row r="25" spans="1:18" x14ac:dyDescent="0.2">
      <c r="C25" s="2" t="s">
        <v>359</v>
      </c>
      <c r="D25" s="102">
        <v>2467</v>
      </c>
    </row>
    <row r="26" spans="1:18" x14ac:dyDescent="0.2">
      <c r="D26" s="100"/>
    </row>
    <row r="27" spans="1:18" ht="45" x14ac:dyDescent="0.2">
      <c r="C27" s="96" t="s">
        <v>388</v>
      </c>
      <c r="D27" s="39">
        <v>4.29</v>
      </c>
    </row>
    <row r="28" spans="1:18" ht="15.75" x14ac:dyDescent="0.25">
      <c r="C28" s="49"/>
      <c r="D28"/>
    </row>
    <row r="29" spans="1:18" ht="60" x14ac:dyDescent="0.2">
      <c r="C29" s="109" t="s">
        <v>411</v>
      </c>
      <c r="D29" s="120">
        <f>R7/F7*D27</f>
        <v>3.207680948160001</v>
      </c>
    </row>
    <row r="30" spans="1:18" ht="15.75" x14ac:dyDescent="0.25">
      <c r="C30"/>
      <c r="D30" s="117"/>
    </row>
    <row r="31" spans="1:18" ht="45" x14ac:dyDescent="0.2">
      <c r="C31" s="96" t="s">
        <v>385</v>
      </c>
      <c r="D31" s="121">
        <f>D27+D29</f>
        <v>7.4976809481600011</v>
      </c>
    </row>
    <row r="32" spans="1:18" ht="15.75" x14ac:dyDescent="0.25">
      <c r="C32"/>
      <c r="D32" s="117"/>
    </row>
    <row r="33" spans="1:19" x14ac:dyDescent="0.2">
      <c r="D33" s="116"/>
    </row>
    <row r="34" spans="1:19" ht="45.75" thickBot="1" x14ac:dyDescent="0.25">
      <c r="C34" s="97" t="s">
        <v>386</v>
      </c>
      <c r="D34" s="122">
        <f>D29*3</f>
        <v>9.623042844480004</v>
      </c>
    </row>
    <row r="35" spans="1:19" ht="15.75" thickTop="1" x14ac:dyDescent="0.2"/>
    <row r="38" spans="1:19" ht="34.5" x14ac:dyDescent="0.45">
      <c r="A38" s="144" t="s">
        <v>336</v>
      </c>
      <c r="B38" s="144"/>
      <c r="C38" s="144"/>
      <c r="D38" s="144"/>
      <c r="E38" s="144"/>
      <c r="F38" s="144"/>
      <c r="G38" s="144"/>
    </row>
    <row r="39" spans="1:19" x14ac:dyDescent="0.2">
      <c r="A39" s="145"/>
      <c r="B39" s="145"/>
      <c r="C39" s="145"/>
      <c r="D39" s="145"/>
      <c r="E39" s="145"/>
      <c r="F39" s="145"/>
    </row>
    <row r="40" spans="1:19" ht="15.75" thickBot="1" x14ac:dyDescent="0.25">
      <c r="A40" s="1" t="s">
        <v>336</v>
      </c>
      <c r="B40" s="1"/>
      <c r="C40" s="1"/>
      <c r="D40" s="1"/>
      <c r="E40" s="1"/>
      <c r="F40" s="1"/>
      <c r="G40" s="1"/>
    </row>
    <row r="41" spans="1:19" ht="31.5" x14ac:dyDescent="0.2">
      <c r="A41" s="5" t="s">
        <v>1</v>
      </c>
      <c r="B41" s="5" t="s">
        <v>2</v>
      </c>
      <c r="C41" s="5" t="s">
        <v>6</v>
      </c>
      <c r="D41" s="5" t="s">
        <v>5</v>
      </c>
      <c r="E41" s="5" t="str">
        <f>E4</f>
        <v>FY 2024 
Actuals</v>
      </c>
      <c r="F41" s="5" t="str">
        <f t="shared" ref="F41:G41" si="2">F4</f>
        <v>FY 2025 
Adopted Budget</v>
      </c>
      <c r="G41" s="5" t="str">
        <f t="shared" si="2"/>
        <v>FY 2026 
Proposed Budget</v>
      </c>
    </row>
    <row r="42" spans="1:19" ht="15.75" x14ac:dyDescent="0.25">
      <c r="A42" s="3">
        <v>413300</v>
      </c>
      <c r="B42" s="4" t="s">
        <v>68</v>
      </c>
      <c r="C42" s="36">
        <v>476.23</v>
      </c>
      <c r="D42" s="36">
        <v>459.54</v>
      </c>
      <c r="E42" s="36">
        <v>1852</v>
      </c>
      <c r="F42" s="36">
        <v>500</v>
      </c>
      <c r="G42" s="36">
        <v>2300</v>
      </c>
      <c r="J42" s="2" t="s">
        <v>342</v>
      </c>
      <c r="K42" s="37">
        <f>F44</f>
        <v>1500000</v>
      </c>
    </row>
    <row r="43" spans="1:19" ht="15.75" x14ac:dyDescent="0.25">
      <c r="A43" s="3">
        <v>413800</v>
      </c>
      <c r="B43" s="4" t="s">
        <v>244</v>
      </c>
      <c r="C43" s="6">
        <v>5310.86</v>
      </c>
      <c r="D43" s="6">
        <v>33</v>
      </c>
      <c r="E43" s="6">
        <v>555</v>
      </c>
      <c r="F43" s="6">
        <v>5000</v>
      </c>
      <c r="G43" s="6">
        <v>400</v>
      </c>
      <c r="J43" s="2" t="s">
        <v>343</v>
      </c>
      <c r="K43" s="37">
        <f>F50</f>
        <v>100000</v>
      </c>
    </row>
    <row r="44" spans="1:19" ht="15.75" x14ac:dyDescent="0.25">
      <c r="A44" s="3">
        <v>420100</v>
      </c>
      <c r="B44" s="4" t="s">
        <v>342</v>
      </c>
      <c r="C44" s="6">
        <v>988027.24</v>
      </c>
      <c r="D44" s="6">
        <v>1025619.82</v>
      </c>
      <c r="E44" s="6">
        <v>1229910</v>
      </c>
      <c r="F44" s="6">
        <f>1500000</f>
        <v>1500000</v>
      </c>
      <c r="G44" s="6">
        <f>(1824773+6899+13164-302692)*1.0568</f>
        <v>1629737.7792</v>
      </c>
      <c r="J44" s="2" t="s">
        <v>344</v>
      </c>
      <c r="K44" s="37">
        <f>F51</f>
        <v>275000</v>
      </c>
      <c r="R44" s="37">
        <f>G44-F44</f>
        <v>129737.77919999999</v>
      </c>
      <c r="S44" s="95"/>
    </row>
    <row r="45" spans="1:19" ht="15.75" x14ac:dyDescent="0.25">
      <c r="A45" s="3">
        <v>420200</v>
      </c>
      <c r="B45" s="4" t="s">
        <v>87</v>
      </c>
      <c r="C45" s="6">
        <v>11834.57</v>
      </c>
      <c r="D45" s="6">
        <v>14847.16</v>
      </c>
      <c r="E45" s="6">
        <v>18841</v>
      </c>
      <c r="F45" s="6">
        <v>13500</v>
      </c>
      <c r="G45" s="6">
        <v>22000</v>
      </c>
      <c r="J45" s="2" t="s">
        <v>345</v>
      </c>
      <c r="K45" s="37">
        <f>F42+F43+F45+F46+F49</f>
        <v>23350</v>
      </c>
    </row>
    <row r="46" spans="1:19" ht="15.75" x14ac:dyDescent="0.25">
      <c r="A46" s="3">
        <v>420250</v>
      </c>
      <c r="B46" s="4" t="s">
        <v>228</v>
      </c>
      <c r="C46" s="6">
        <v>4462.5</v>
      </c>
      <c r="D46" s="6">
        <v>3345</v>
      </c>
      <c r="E46" s="6">
        <v>2422</v>
      </c>
      <c r="F46" s="6">
        <v>4000</v>
      </c>
      <c r="G46" s="6">
        <v>1600</v>
      </c>
    </row>
    <row r="47" spans="1:19" ht="15.75" x14ac:dyDescent="0.25">
      <c r="A47" s="3">
        <v>420350</v>
      </c>
      <c r="B47" s="4" t="s">
        <v>245</v>
      </c>
      <c r="C47" s="6">
        <v>1600</v>
      </c>
      <c r="D47" s="6">
        <v>500</v>
      </c>
      <c r="E47" s="6">
        <v>1500</v>
      </c>
      <c r="F47" s="6">
        <v>0</v>
      </c>
      <c r="G47" s="6">
        <v>0</v>
      </c>
    </row>
    <row r="48" spans="1:19" ht="15.75" x14ac:dyDescent="0.25">
      <c r="A48" s="3">
        <v>430000</v>
      </c>
      <c r="B48" s="4" t="s">
        <v>91</v>
      </c>
      <c r="C48" s="6">
        <v>0</v>
      </c>
      <c r="D48" s="6">
        <v>329.25</v>
      </c>
      <c r="E48" s="6">
        <v>503</v>
      </c>
      <c r="F48" s="6">
        <v>0</v>
      </c>
      <c r="G48" s="6">
        <v>0</v>
      </c>
    </row>
    <row r="49" spans="1:12" ht="15.75" x14ac:dyDescent="0.25">
      <c r="A49" s="3">
        <v>413320</v>
      </c>
      <c r="B49" s="4" t="s">
        <v>246</v>
      </c>
      <c r="C49" s="6">
        <v>223.95</v>
      </c>
      <c r="D49" s="6">
        <v>1743.95</v>
      </c>
      <c r="E49" s="6">
        <v>4531</v>
      </c>
      <c r="F49" s="6">
        <v>350</v>
      </c>
      <c r="G49" s="6">
        <v>2600</v>
      </c>
    </row>
    <row r="50" spans="1:12" ht="15.75" x14ac:dyDescent="0.25">
      <c r="A50" s="3">
        <v>440400</v>
      </c>
      <c r="B50" s="4" t="s">
        <v>247</v>
      </c>
      <c r="C50" s="6">
        <v>93444</v>
      </c>
      <c r="D50" s="6">
        <v>78192</v>
      </c>
      <c r="E50" s="6">
        <v>71496</v>
      </c>
      <c r="F50" s="6">
        <v>100000</v>
      </c>
      <c r="G50" s="6">
        <v>91000</v>
      </c>
    </row>
    <row r="51" spans="1:12" ht="15.75" x14ac:dyDescent="0.25">
      <c r="A51" s="3">
        <v>440500</v>
      </c>
      <c r="B51" s="4" t="s">
        <v>248</v>
      </c>
      <c r="C51" s="6">
        <v>234012</v>
      </c>
      <c r="D51" s="6">
        <v>251712</v>
      </c>
      <c r="E51" s="6">
        <v>231847</v>
      </c>
      <c r="F51" s="6">
        <v>275000</v>
      </c>
      <c r="G51" s="6">
        <v>243000</v>
      </c>
    </row>
    <row r="52" spans="1:12" ht="15.75" x14ac:dyDescent="0.25">
      <c r="A52" s="3" t="s">
        <v>443</v>
      </c>
      <c r="B52" s="4" t="s">
        <v>442</v>
      </c>
      <c r="C52" s="6"/>
      <c r="D52" s="6"/>
      <c r="E52" s="6"/>
      <c r="F52" s="6"/>
      <c r="G52" s="119">
        <f>'WW TR PL'!G74</f>
        <v>84081.250794443898</v>
      </c>
      <c r="L52" s="37"/>
    </row>
    <row r="53" spans="1:12" ht="19.5" customHeight="1" thickBot="1" x14ac:dyDescent="0.3">
      <c r="A53" s="3" t="s">
        <v>443</v>
      </c>
      <c r="B53" s="4" t="s">
        <v>444</v>
      </c>
      <c r="C53" s="6"/>
      <c r="D53" s="6"/>
      <c r="E53" s="6"/>
      <c r="F53" s="6"/>
      <c r="G53" s="6">
        <f>'WW TR PL'!G73</f>
        <v>218611.25206555414</v>
      </c>
      <c r="K53" s="2">
        <f>B54</f>
        <v>0</v>
      </c>
      <c r="L53" s="37">
        <f>F54</f>
        <v>1898350</v>
      </c>
    </row>
    <row r="54" spans="1:12" ht="16.5" thickBot="1" x14ac:dyDescent="0.3">
      <c r="A54" s="7" t="s">
        <v>337</v>
      </c>
      <c r="B54" s="8"/>
      <c r="C54" s="30">
        <f>SUM(C42:C53)</f>
        <v>1339391.3499999999</v>
      </c>
      <c r="D54" s="30">
        <f t="shared" ref="D54:G54" si="3">SUM(D42:D53)</f>
        <v>1376781.72</v>
      </c>
      <c r="E54" s="30">
        <f t="shared" si="3"/>
        <v>1563457</v>
      </c>
      <c r="F54" s="30">
        <f t="shared" si="3"/>
        <v>1898350</v>
      </c>
      <c r="G54" s="30">
        <f t="shared" si="3"/>
        <v>2295330.2820599983</v>
      </c>
    </row>
    <row r="56" spans="1:12" x14ac:dyDescent="0.2">
      <c r="G56" s="37">
        <f>G54-'WW TR PL'!G66</f>
        <v>85788.466059998143</v>
      </c>
    </row>
    <row r="58" spans="1:12" ht="18" x14ac:dyDescent="0.25">
      <c r="C58" s="168" t="s">
        <v>387</v>
      </c>
      <c r="D58" s="168"/>
    </row>
    <row r="60" spans="1:12" x14ac:dyDescent="0.2">
      <c r="C60" s="2" t="s">
        <v>359</v>
      </c>
      <c r="D60" s="102">
        <v>2389</v>
      </c>
    </row>
    <row r="61" spans="1:12" x14ac:dyDescent="0.2">
      <c r="D61" s="100"/>
    </row>
    <row r="62" spans="1:12" ht="45" x14ac:dyDescent="0.2">
      <c r="C62" s="96" t="s">
        <v>388</v>
      </c>
      <c r="D62" s="39">
        <v>7.36</v>
      </c>
    </row>
    <row r="63" spans="1:12" ht="15.75" x14ac:dyDescent="0.25">
      <c r="C63" s="49"/>
      <c r="D63"/>
    </row>
    <row r="64" spans="1:12" ht="60" x14ac:dyDescent="0.2">
      <c r="C64" s="109" t="s">
        <v>411</v>
      </c>
      <c r="D64" s="120">
        <f>R44/F44*D62</f>
        <v>0.636580036608</v>
      </c>
    </row>
    <row r="65" spans="3:4" ht="15.75" x14ac:dyDescent="0.25">
      <c r="C65"/>
      <c r="D65" s="117"/>
    </row>
    <row r="66" spans="3:4" ht="45" x14ac:dyDescent="0.2">
      <c r="C66" s="96" t="s">
        <v>385</v>
      </c>
      <c r="D66" s="121">
        <f>D62+D64</f>
        <v>7.996580036608</v>
      </c>
    </row>
    <row r="67" spans="3:4" ht="15.75" x14ac:dyDescent="0.25">
      <c r="C67"/>
      <c r="D67" s="117"/>
    </row>
    <row r="68" spans="3:4" x14ac:dyDescent="0.2">
      <c r="D68" s="116"/>
    </row>
    <row r="69" spans="3:4" ht="45.75" thickBot="1" x14ac:dyDescent="0.25">
      <c r="C69" s="97" t="s">
        <v>386</v>
      </c>
      <c r="D69" s="122">
        <f>D64*3</f>
        <v>1.9097401098239999</v>
      </c>
    </row>
    <row r="70" spans="3:4" ht="15.75" thickTop="1" x14ac:dyDescent="0.2"/>
    <row r="83" spans="1:17" ht="34.5" x14ac:dyDescent="0.45">
      <c r="A83" s="144" t="s">
        <v>334</v>
      </c>
      <c r="B83" s="144"/>
      <c r="C83" s="144"/>
      <c r="D83" s="144"/>
      <c r="E83" s="144"/>
      <c r="F83" s="144"/>
      <c r="G83" s="144"/>
    </row>
    <row r="84" spans="1:17" x14ac:dyDescent="0.2">
      <c r="A84" s="145"/>
      <c r="B84" s="145"/>
      <c r="C84" s="145"/>
      <c r="D84" s="145"/>
      <c r="E84" s="145"/>
      <c r="F84" s="145"/>
    </row>
    <row r="86" spans="1:17" ht="15.75" thickBot="1" x14ac:dyDescent="0.25">
      <c r="A86" s="1" t="s">
        <v>335</v>
      </c>
      <c r="B86" s="1"/>
      <c r="C86" s="1"/>
      <c r="D86" s="1"/>
      <c r="E86" s="1"/>
      <c r="F86" s="1"/>
      <c r="G86" s="1"/>
    </row>
    <row r="87" spans="1:17" ht="31.5" x14ac:dyDescent="0.2">
      <c r="A87" s="5" t="s">
        <v>1</v>
      </c>
      <c r="B87" s="5" t="s">
        <v>2</v>
      </c>
      <c r="C87" s="5" t="s">
        <v>6</v>
      </c>
      <c r="D87" s="5" t="s">
        <v>5</v>
      </c>
      <c r="E87" s="5" t="str">
        <f>E4</f>
        <v>FY 2024 
Actuals</v>
      </c>
      <c r="F87" s="5" t="str">
        <f t="shared" ref="F87:Q87" si="4">F4</f>
        <v>FY 2025 
Adopted Budget</v>
      </c>
      <c r="G87" s="5" t="str">
        <f t="shared" si="4"/>
        <v>FY 2026 
Proposed Budget</v>
      </c>
      <c r="H87" s="5">
        <f t="shared" si="4"/>
        <v>0</v>
      </c>
      <c r="I87" s="5">
        <f t="shared" si="4"/>
        <v>0</v>
      </c>
      <c r="J87" s="5">
        <f t="shared" si="4"/>
        <v>0</v>
      </c>
      <c r="K87" s="5" t="str">
        <f t="shared" si="4"/>
        <v xml:space="preserve"> </v>
      </c>
      <c r="L87" s="5" t="str">
        <f t="shared" si="4"/>
        <v xml:space="preserve"> </v>
      </c>
      <c r="M87" s="5">
        <f t="shared" si="4"/>
        <v>0</v>
      </c>
      <c r="N87" s="5">
        <f t="shared" si="4"/>
        <v>0</v>
      </c>
      <c r="O87" s="5">
        <f t="shared" si="4"/>
        <v>0</v>
      </c>
      <c r="P87" s="5">
        <f t="shared" si="4"/>
        <v>0</v>
      </c>
      <c r="Q87" s="5">
        <f t="shared" si="4"/>
        <v>0</v>
      </c>
    </row>
    <row r="88" spans="1:17" ht="15.75" x14ac:dyDescent="0.25">
      <c r="A88" s="3">
        <v>413600</v>
      </c>
      <c r="B88" s="4" t="s">
        <v>255</v>
      </c>
      <c r="C88" s="36">
        <v>1491.32</v>
      </c>
      <c r="D88" s="36">
        <v>2230.2800000000002</v>
      </c>
      <c r="E88" s="36">
        <v>0</v>
      </c>
      <c r="F88" s="36">
        <v>0</v>
      </c>
      <c r="G88" s="36">
        <v>0</v>
      </c>
    </row>
    <row r="89" spans="1:17" ht="15.75" x14ac:dyDescent="0.25">
      <c r="A89" s="3">
        <v>413900</v>
      </c>
      <c r="B89" s="4" t="s">
        <v>70</v>
      </c>
      <c r="C89" s="6">
        <v>404.2</v>
      </c>
      <c r="D89" s="6">
        <v>0</v>
      </c>
      <c r="E89" s="6">
        <v>0</v>
      </c>
      <c r="F89" s="36">
        <v>0</v>
      </c>
      <c r="G89" s="36">
        <v>0</v>
      </c>
    </row>
    <row r="90" spans="1:17" ht="16.5" thickBot="1" x14ac:dyDescent="0.3">
      <c r="A90" s="3">
        <v>430000</v>
      </c>
      <c r="B90" s="4" t="s">
        <v>91</v>
      </c>
      <c r="C90" s="6">
        <v>15704</v>
      </c>
      <c r="D90" s="6">
        <v>18573.63</v>
      </c>
      <c r="E90" s="6">
        <v>0</v>
      </c>
      <c r="F90" s="36">
        <v>0</v>
      </c>
      <c r="G90" s="36">
        <v>0</v>
      </c>
    </row>
    <row r="91" spans="1:17" ht="16.5" thickBot="1" x14ac:dyDescent="0.3">
      <c r="A91" s="7" t="s">
        <v>337</v>
      </c>
      <c r="B91" s="8"/>
      <c r="C91" s="30">
        <f>SUM(C88:C90)</f>
        <v>17599.52</v>
      </c>
      <c r="D91" s="30">
        <f>SUM(D88:D90)</f>
        <v>20803.91</v>
      </c>
      <c r="E91" s="30">
        <f>SUM(E88:E90)</f>
        <v>0</v>
      </c>
      <c r="F91" s="30">
        <f>SUM(F88:F90)</f>
        <v>0</v>
      </c>
      <c r="G91" s="30">
        <f>SUM(G88:G90)</f>
        <v>0</v>
      </c>
    </row>
    <row r="96" spans="1:17" hidden="1" x14ac:dyDescent="0.2">
      <c r="E96" s="37">
        <f>E19+E54</f>
        <v>2946673</v>
      </c>
      <c r="F96" s="2">
        <f>'WA TR PL'!E62+'WW TR PL'!E66+'W&amp;S LINE'!E56</f>
        <v>3212127.6799999997</v>
      </c>
      <c r="G96" s="2">
        <f>'WA TR PL'!F62+'WW TR PL'!F66+'W&amp;S LINE'!F56</f>
        <v>3715496</v>
      </c>
      <c r="J96" s="39">
        <f>E96*0.15</f>
        <v>442000.95</v>
      </c>
    </row>
  </sheetData>
  <sortState xmlns:xlrd2="http://schemas.microsoft.com/office/spreadsheetml/2017/richdata2" ref="K4:L19">
    <sortCondition descending="1" ref="L4:L19"/>
  </sortState>
  <mergeCells count="9">
    <mergeCell ref="R15:R18"/>
    <mergeCell ref="A1:G1"/>
    <mergeCell ref="A84:F84"/>
    <mergeCell ref="A2:F2"/>
    <mergeCell ref="A39:F39"/>
    <mergeCell ref="A83:G83"/>
    <mergeCell ref="A38:G38"/>
    <mergeCell ref="C23:D23"/>
    <mergeCell ref="C58:D58"/>
  </mergeCells>
  <pageMargins left="0.45" right="0.45" top="0.75" bottom="0.75" header="0.3" footer="0.3"/>
  <pageSetup scale="59" fitToHeight="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825F-2F73-46F6-975C-906014E1E959}">
  <sheetPr>
    <pageSetUpPr fitToPage="1"/>
  </sheetPr>
  <dimension ref="A1:H71"/>
  <sheetViews>
    <sheetView showGridLines="0" zoomScaleNormal="100" workbookViewId="0">
      <selection sqref="A1:G2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8" width="34.140625" style="2" customWidth="1"/>
    <col min="9" max="16384" width="9.140625" style="2"/>
  </cols>
  <sheetData>
    <row r="1" spans="1:8" ht="34.5" customHeight="1" x14ac:dyDescent="0.2">
      <c r="A1" s="144" t="s">
        <v>30</v>
      </c>
      <c r="B1" s="144"/>
      <c r="C1" s="144"/>
      <c r="D1" s="144"/>
      <c r="E1" s="144"/>
      <c r="F1" s="144"/>
      <c r="G1" s="144"/>
    </row>
    <row r="2" spans="1:8" x14ac:dyDescent="0.2">
      <c r="A2" s="169"/>
      <c r="B2" s="169"/>
      <c r="C2" s="169"/>
      <c r="D2" s="169"/>
      <c r="E2" s="169"/>
      <c r="F2" s="169"/>
      <c r="G2" s="169"/>
    </row>
    <row r="3" spans="1:8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8" ht="31.5" x14ac:dyDescent="0.2">
      <c r="A4" s="5" t="s">
        <v>1</v>
      </c>
      <c r="B4" s="5" t="s">
        <v>2</v>
      </c>
      <c r="C4" s="5" t="s">
        <v>6</v>
      </c>
      <c r="D4" s="5" t="s">
        <v>5</v>
      </c>
      <c r="E4" s="5" t="s">
        <v>350</v>
      </c>
      <c r="F4" s="5" t="s">
        <v>349</v>
      </c>
      <c r="G4" s="5" t="s">
        <v>358</v>
      </c>
    </row>
    <row r="5" spans="1:8" ht="30.75" x14ac:dyDescent="0.25">
      <c r="A5" s="3">
        <v>500000</v>
      </c>
      <c r="B5" s="4" t="s">
        <v>119</v>
      </c>
      <c r="C5" s="36">
        <v>331587.09000000003</v>
      </c>
      <c r="D5" s="36">
        <v>357939.78</v>
      </c>
      <c r="E5" s="36">
        <v>358439.96</v>
      </c>
      <c r="F5" s="36">
        <v>405945</v>
      </c>
      <c r="G5" s="36">
        <f>387874+1.5*2080+1*2080+1.5*2080</f>
        <v>396194</v>
      </c>
      <c r="H5" s="97" t="s">
        <v>417</v>
      </c>
    </row>
    <row r="6" spans="1:8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8" ht="15.75" x14ac:dyDescent="0.25">
      <c r="A7" s="3">
        <v>501000</v>
      </c>
      <c r="B7" s="4" t="s">
        <v>122</v>
      </c>
      <c r="C7" s="6">
        <v>24168.65</v>
      </c>
      <c r="D7" s="6">
        <v>26130.28</v>
      </c>
      <c r="E7" s="6">
        <v>26217</v>
      </c>
      <c r="F7" s="6">
        <v>31100</v>
      </c>
      <c r="G7" s="6">
        <v>30352</v>
      </c>
    </row>
    <row r="8" spans="1:8" ht="15.75" x14ac:dyDescent="0.25">
      <c r="A8" s="3">
        <v>501100</v>
      </c>
      <c r="B8" s="4" t="s">
        <v>123</v>
      </c>
      <c r="C8" s="6">
        <v>93233.97</v>
      </c>
      <c r="D8" s="6">
        <v>99456</v>
      </c>
      <c r="E8" s="6">
        <v>99418.48</v>
      </c>
      <c r="F8" s="6">
        <v>120000</v>
      </c>
      <c r="G8" s="6">
        <f>108427*1.103</f>
        <v>119594.981</v>
      </c>
      <c r="H8" s="2" t="s">
        <v>381</v>
      </c>
    </row>
    <row r="9" spans="1:8" ht="15.75" x14ac:dyDescent="0.25">
      <c r="A9" s="3">
        <v>501150</v>
      </c>
      <c r="B9" s="4" t="s">
        <v>129</v>
      </c>
      <c r="C9" s="6">
        <v>1599.96</v>
      </c>
      <c r="D9" s="6">
        <v>1719.46</v>
      </c>
      <c r="E9" s="6">
        <v>1730.48</v>
      </c>
      <c r="F9" s="6">
        <v>1800</v>
      </c>
      <c r="G9" s="6">
        <f>1902*1.103</f>
        <v>2097.9059999999999</v>
      </c>
      <c r="H9" s="2" t="s">
        <v>381</v>
      </c>
    </row>
    <row r="10" spans="1:8" ht="15.75" x14ac:dyDescent="0.25">
      <c r="A10" s="3">
        <v>501200</v>
      </c>
      <c r="B10" s="4" t="s">
        <v>130</v>
      </c>
      <c r="C10" s="6">
        <v>51676.08</v>
      </c>
      <c r="D10" s="6">
        <v>54677.56</v>
      </c>
      <c r="E10" s="6">
        <v>56207.5</v>
      </c>
      <c r="F10" s="6">
        <v>84267</v>
      </c>
      <c r="G10" s="6">
        <f>132000</f>
        <v>132000</v>
      </c>
      <c r="H10" s="2" t="s">
        <v>382</v>
      </c>
    </row>
    <row r="11" spans="1:8" ht="15.75" x14ac:dyDescent="0.25">
      <c r="A11" s="3">
        <v>501225</v>
      </c>
      <c r="B11" s="4" t="s">
        <v>131</v>
      </c>
      <c r="C11" s="6">
        <v>1181.08</v>
      </c>
      <c r="D11" s="6">
        <v>1201.6099999999999</v>
      </c>
      <c r="E11" s="6">
        <v>1374.48</v>
      </c>
      <c r="F11" s="6">
        <v>1500</v>
      </c>
      <c r="G11" s="6">
        <v>1500</v>
      </c>
    </row>
    <row r="12" spans="1:8" ht="16.5" thickBot="1" x14ac:dyDescent="0.3">
      <c r="A12" s="3">
        <v>501250</v>
      </c>
      <c r="B12" s="4" t="s">
        <v>124</v>
      </c>
      <c r="C12" s="6">
        <v>9778.93</v>
      </c>
      <c r="D12" s="6">
        <v>10535.32</v>
      </c>
      <c r="E12" s="6">
        <v>8372.85</v>
      </c>
      <c r="F12" s="6">
        <v>13500</v>
      </c>
      <c r="G12" s="6">
        <f>8800</f>
        <v>8800</v>
      </c>
    </row>
    <row r="13" spans="1:8" ht="16.5" thickBot="1" x14ac:dyDescent="0.3">
      <c r="A13" s="7" t="s">
        <v>10</v>
      </c>
      <c r="B13" s="8"/>
      <c r="C13" s="84">
        <f>SUM(C5:C12)</f>
        <v>513225.76000000013</v>
      </c>
      <c r="D13" s="84">
        <f>SUM(D5:D12)</f>
        <v>551660.01</v>
      </c>
      <c r="E13" s="84">
        <f>SUM(E5:E12)</f>
        <v>551760.74999999988</v>
      </c>
      <c r="F13" s="84">
        <f>SUM(F5:F12)</f>
        <v>658112</v>
      </c>
      <c r="G13" s="84">
        <f>SUM(G5:G12)</f>
        <v>690538.88699999999</v>
      </c>
    </row>
    <row r="15" spans="1:8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8" ht="31.5" x14ac:dyDescent="0.2">
      <c r="A16" s="5" t="s">
        <v>1</v>
      </c>
      <c r="B16" s="5" t="s">
        <v>2</v>
      </c>
      <c r="C16" s="5" t="s">
        <v>6</v>
      </c>
      <c r="D16" s="5" t="s">
        <v>5</v>
      </c>
      <c r="E16" s="5" t="str">
        <f>E4</f>
        <v>FY 2024 
Actuals</v>
      </c>
      <c r="F16" s="5" t="str">
        <f t="shared" ref="F16:G16" si="0">F4</f>
        <v>FY 2025 
Adopted Budget</v>
      </c>
      <c r="G16" s="5" t="str">
        <f t="shared" si="0"/>
        <v>FY 2026
Proposed Budget</v>
      </c>
    </row>
    <row r="17" spans="1:7" ht="15.75" x14ac:dyDescent="0.25">
      <c r="A17" s="45">
        <v>501300</v>
      </c>
      <c r="B17" s="46" t="s">
        <v>132</v>
      </c>
      <c r="C17" s="36">
        <v>7430.12</v>
      </c>
      <c r="D17" s="36">
        <v>8381.84</v>
      </c>
      <c r="E17" s="36">
        <v>8666.68</v>
      </c>
      <c r="F17" s="36">
        <v>7250</v>
      </c>
      <c r="G17" s="36">
        <v>8100</v>
      </c>
    </row>
    <row r="18" spans="1:7" ht="15.75" x14ac:dyDescent="0.25">
      <c r="A18" s="3">
        <v>501350</v>
      </c>
      <c r="B18" s="4" t="s">
        <v>133</v>
      </c>
      <c r="C18" s="6">
        <v>442</v>
      </c>
      <c r="D18" s="6">
        <v>503</v>
      </c>
      <c r="E18" s="6">
        <v>530.67999999999995</v>
      </c>
      <c r="F18" s="6">
        <v>500</v>
      </c>
      <c r="G18" s="6">
        <v>1200</v>
      </c>
    </row>
    <row r="19" spans="1:7" ht="15.75" x14ac:dyDescent="0.25">
      <c r="A19" s="3">
        <v>510050</v>
      </c>
      <c r="B19" s="4" t="s">
        <v>135</v>
      </c>
      <c r="C19" s="6">
        <v>1062.49</v>
      </c>
      <c r="D19" s="6">
        <v>9095.8700000000008</v>
      </c>
      <c r="E19" s="6">
        <v>22779.61</v>
      </c>
      <c r="F19" s="6">
        <v>0</v>
      </c>
      <c r="G19" s="6">
        <v>0</v>
      </c>
    </row>
    <row r="20" spans="1:7" ht="15.75" x14ac:dyDescent="0.25">
      <c r="A20" s="3">
        <v>510100</v>
      </c>
      <c r="B20" s="4" t="s">
        <v>136</v>
      </c>
      <c r="C20" s="6">
        <v>8125</v>
      </c>
      <c r="D20" s="6">
        <v>2095.73</v>
      </c>
      <c r="E20" s="6">
        <v>20500</v>
      </c>
      <c r="F20" s="6">
        <v>10833</v>
      </c>
      <c r="G20" s="6">
        <v>10000</v>
      </c>
    </row>
    <row r="21" spans="1:7" ht="15.75" x14ac:dyDescent="0.25">
      <c r="A21" s="3">
        <v>510150</v>
      </c>
      <c r="B21" s="4" t="s">
        <v>138</v>
      </c>
      <c r="C21" s="6">
        <v>1940.83</v>
      </c>
      <c r="D21" s="6">
        <v>968</v>
      </c>
      <c r="E21" s="6">
        <v>3141.93</v>
      </c>
      <c r="F21" s="6">
        <v>0</v>
      </c>
      <c r="G21" s="6">
        <v>0</v>
      </c>
    </row>
    <row r="22" spans="1:7" ht="15.75" x14ac:dyDescent="0.25">
      <c r="A22" s="3">
        <v>510250</v>
      </c>
      <c r="B22" s="4" t="s">
        <v>140</v>
      </c>
      <c r="C22" s="6">
        <v>1752</v>
      </c>
      <c r="D22" s="6">
        <v>3.9</v>
      </c>
      <c r="E22" s="6">
        <v>2437.15</v>
      </c>
      <c r="F22" s="6">
        <v>2700</v>
      </c>
      <c r="G22" s="6">
        <v>3400</v>
      </c>
    </row>
    <row r="23" spans="1:7" ht="15.75" x14ac:dyDescent="0.25">
      <c r="A23" s="3">
        <v>510400</v>
      </c>
      <c r="B23" s="4" t="s">
        <v>143</v>
      </c>
      <c r="C23" s="6">
        <v>6694.27</v>
      </c>
      <c r="D23" s="6">
        <v>6844.68</v>
      </c>
      <c r="E23" s="6">
        <v>7512.76</v>
      </c>
      <c r="F23" s="6">
        <v>7650</v>
      </c>
      <c r="G23" s="6">
        <v>4000</v>
      </c>
    </row>
    <row r="24" spans="1:7" ht="15.75" x14ac:dyDescent="0.25">
      <c r="A24" s="3">
        <v>510450</v>
      </c>
      <c r="B24" s="4" t="s">
        <v>145</v>
      </c>
      <c r="C24" s="6">
        <v>3051.47</v>
      </c>
      <c r="D24" s="6">
        <v>3649.93</v>
      </c>
      <c r="E24" s="6">
        <v>2696.8</v>
      </c>
      <c r="F24" s="6">
        <v>3500</v>
      </c>
      <c r="G24" s="6">
        <v>3800</v>
      </c>
    </row>
    <row r="25" spans="1:7" ht="15.75" x14ac:dyDescent="0.25">
      <c r="A25" s="3">
        <v>510500</v>
      </c>
      <c r="B25" s="4" t="s">
        <v>170</v>
      </c>
      <c r="C25" s="6">
        <v>297.75</v>
      </c>
      <c r="D25" s="6">
        <v>524.39</v>
      </c>
      <c r="E25" s="6">
        <v>3232.58</v>
      </c>
      <c r="F25" s="6">
        <v>500</v>
      </c>
      <c r="G25" s="6">
        <v>6500</v>
      </c>
    </row>
    <row r="26" spans="1:7" ht="15.75" x14ac:dyDescent="0.25">
      <c r="A26" s="3">
        <v>510550</v>
      </c>
      <c r="B26" s="4" t="s">
        <v>146</v>
      </c>
      <c r="C26" s="6">
        <v>49.99</v>
      </c>
      <c r="D26" s="6">
        <v>1635.24</v>
      </c>
      <c r="E26" s="6">
        <v>2957.3</v>
      </c>
      <c r="F26" s="6">
        <v>2500</v>
      </c>
      <c r="G26" s="6">
        <v>2400</v>
      </c>
    </row>
    <row r="27" spans="1:7" ht="15.75" x14ac:dyDescent="0.25">
      <c r="A27" s="3">
        <v>510600</v>
      </c>
      <c r="B27" s="4" t="s">
        <v>147</v>
      </c>
      <c r="C27" s="6">
        <v>6568.57</v>
      </c>
      <c r="D27" s="6">
        <v>3176.18</v>
      </c>
      <c r="E27" s="6">
        <v>4581.9799999999996</v>
      </c>
      <c r="F27" s="6">
        <v>5000</v>
      </c>
      <c r="G27" s="6">
        <v>12000</v>
      </c>
    </row>
    <row r="28" spans="1:7" ht="15.75" x14ac:dyDescent="0.25">
      <c r="A28" s="3">
        <v>510625</v>
      </c>
      <c r="B28" s="4" t="s">
        <v>148</v>
      </c>
      <c r="C28" s="6">
        <v>2650.72</v>
      </c>
      <c r="D28" s="6">
        <v>2897.87</v>
      </c>
      <c r="E28" s="6">
        <v>2341.91</v>
      </c>
      <c r="F28" s="6">
        <v>2500</v>
      </c>
      <c r="G28" s="6">
        <v>1500</v>
      </c>
    </row>
    <row r="29" spans="1:7" ht="15.75" x14ac:dyDescent="0.25">
      <c r="A29" s="3">
        <v>510700</v>
      </c>
      <c r="B29" s="4" t="s">
        <v>149</v>
      </c>
      <c r="C29" s="6">
        <v>243.09</v>
      </c>
      <c r="D29" s="6">
        <v>61.55</v>
      </c>
      <c r="E29" s="6">
        <v>71.95</v>
      </c>
      <c r="F29" s="6">
        <v>250</v>
      </c>
      <c r="G29" s="6">
        <v>200</v>
      </c>
    </row>
    <row r="30" spans="1:7" ht="15.75" x14ac:dyDescent="0.25">
      <c r="A30" s="3">
        <v>510750</v>
      </c>
      <c r="B30" s="4" t="s">
        <v>150</v>
      </c>
      <c r="C30" s="6">
        <v>409.72</v>
      </c>
      <c r="D30" s="6">
        <v>12.67</v>
      </c>
      <c r="E30" s="6">
        <v>43.5</v>
      </c>
      <c r="F30" s="6">
        <v>250</v>
      </c>
      <c r="G30" s="6">
        <v>0</v>
      </c>
    </row>
    <row r="31" spans="1:7" ht="15.75" x14ac:dyDescent="0.25">
      <c r="A31" s="3">
        <v>510800</v>
      </c>
      <c r="B31" s="4" t="s">
        <v>151</v>
      </c>
      <c r="C31" s="6">
        <v>2873.72</v>
      </c>
      <c r="D31" s="6">
        <v>2572.58</v>
      </c>
      <c r="E31" s="6">
        <v>2249.35</v>
      </c>
      <c r="F31" s="6">
        <v>4000</v>
      </c>
      <c r="G31" s="6">
        <v>4500</v>
      </c>
    </row>
    <row r="32" spans="1:7" ht="15.75" x14ac:dyDescent="0.25">
      <c r="A32" s="3">
        <v>510900</v>
      </c>
      <c r="B32" s="4" t="s">
        <v>152</v>
      </c>
      <c r="C32" s="6">
        <v>3174.93</v>
      </c>
      <c r="D32" s="6">
        <v>3371.63</v>
      </c>
      <c r="E32" s="6">
        <v>1249.99</v>
      </c>
      <c r="F32" s="6">
        <v>3500</v>
      </c>
      <c r="G32" s="6">
        <v>4000</v>
      </c>
    </row>
    <row r="33" spans="1:8" ht="15.75" x14ac:dyDescent="0.25">
      <c r="A33" s="3">
        <v>511000</v>
      </c>
      <c r="B33" s="4" t="s">
        <v>153</v>
      </c>
      <c r="C33" s="6">
        <v>570</v>
      </c>
      <c r="D33" s="6">
        <v>1720.97</v>
      </c>
      <c r="E33" s="6">
        <v>1883.24</v>
      </c>
      <c r="F33" s="6">
        <v>2500</v>
      </c>
      <c r="G33" s="6">
        <v>2000</v>
      </c>
    </row>
    <row r="34" spans="1:8" ht="15.75" x14ac:dyDescent="0.25">
      <c r="A34" s="3">
        <v>511050</v>
      </c>
      <c r="B34" s="4" t="s">
        <v>154</v>
      </c>
      <c r="C34" s="6">
        <v>0</v>
      </c>
      <c r="D34" s="6">
        <v>0</v>
      </c>
      <c r="E34" s="6">
        <v>0</v>
      </c>
      <c r="F34" s="6">
        <v>350</v>
      </c>
      <c r="G34" s="6">
        <v>0</v>
      </c>
    </row>
    <row r="35" spans="1:8" ht="15.75" x14ac:dyDescent="0.25">
      <c r="A35" s="3">
        <v>511100</v>
      </c>
      <c r="B35" s="4" t="s">
        <v>155</v>
      </c>
      <c r="C35" s="6">
        <v>7970.54</v>
      </c>
      <c r="D35" s="6">
        <v>5882.29</v>
      </c>
      <c r="E35" s="6">
        <v>4853.72</v>
      </c>
      <c r="F35" s="6">
        <v>8000</v>
      </c>
      <c r="G35" s="6">
        <v>6000</v>
      </c>
    </row>
    <row r="36" spans="1:8" ht="15.75" x14ac:dyDescent="0.25">
      <c r="A36" s="3">
        <v>511150</v>
      </c>
      <c r="B36" s="4" t="s">
        <v>156</v>
      </c>
      <c r="C36" s="6">
        <v>0</v>
      </c>
      <c r="D36" s="6">
        <v>0</v>
      </c>
      <c r="E36" s="6">
        <v>6</v>
      </c>
      <c r="F36" s="6">
        <v>0</v>
      </c>
      <c r="G36" s="6">
        <v>0</v>
      </c>
    </row>
    <row r="37" spans="1:8" ht="15.75" x14ac:dyDescent="0.25">
      <c r="A37" s="3">
        <v>511200</v>
      </c>
      <c r="B37" s="4" t="s">
        <v>157</v>
      </c>
      <c r="C37" s="6">
        <v>101740.26</v>
      </c>
      <c r="D37" s="6">
        <v>139390.91</v>
      </c>
      <c r="E37" s="6">
        <v>129650</v>
      </c>
      <c r="F37" s="6">
        <v>135000</v>
      </c>
      <c r="G37" s="6">
        <v>125000</v>
      </c>
    </row>
    <row r="38" spans="1:8" ht="15.75" x14ac:dyDescent="0.25">
      <c r="A38" s="3">
        <v>511250</v>
      </c>
      <c r="B38" s="4" t="s">
        <v>158</v>
      </c>
      <c r="C38" s="6">
        <v>37031.589999999997</v>
      </c>
      <c r="D38" s="6">
        <v>1932.89</v>
      </c>
      <c r="E38" s="6">
        <v>2012</v>
      </c>
      <c r="F38" s="6">
        <v>2200</v>
      </c>
      <c r="G38" s="6">
        <v>2000</v>
      </c>
    </row>
    <row r="39" spans="1:8" ht="15.75" x14ac:dyDescent="0.25">
      <c r="A39" s="3">
        <v>511300</v>
      </c>
      <c r="B39" s="4" t="s">
        <v>159</v>
      </c>
      <c r="C39" s="6">
        <v>70561.820000000007</v>
      </c>
      <c r="D39" s="6">
        <v>62552.29</v>
      </c>
      <c r="E39" s="6">
        <v>108792</v>
      </c>
      <c r="F39" s="6">
        <v>70000</v>
      </c>
      <c r="G39" s="6">
        <v>0</v>
      </c>
    </row>
    <row r="40" spans="1:8" ht="15.75" x14ac:dyDescent="0.25">
      <c r="A40" s="3">
        <v>511350</v>
      </c>
      <c r="B40" s="4" t="s">
        <v>160</v>
      </c>
      <c r="C40" s="6">
        <v>140.22999999999999</v>
      </c>
      <c r="D40" s="6">
        <v>189.72</v>
      </c>
      <c r="E40" s="6">
        <v>258</v>
      </c>
      <c r="F40" s="6">
        <v>200</v>
      </c>
      <c r="G40" s="6">
        <v>500</v>
      </c>
    </row>
    <row r="41" spans="1:8" ht="15.75" x14ac:dyDescent="0.25">
      <c r="A41" s="3">
        <v>511400</v>
      </c>
      <c r="B41" s="4" t="s">
        <v>194</v>
      </c>
      <c r="C41" s="6">
        <v>6786.53</v>
      </c>
      <c r="D41" s="6">
        <v>0</v>
      </c>
      <c r="E41" s="6">
        <v>0</v>
      </c>
      <c r="F41" s="6">
        <v>1200</v>
      </c>
      <c r="G41" s="6">
        <v>0</v>
      </c>
    </row>
    <row r="42" spans="1:8" ht="15.75" x14ac:dyDescent="0.25">
      <c r="A42" s="3">
        <v>519000</v>
      </c>
      <c r="B42" s="4" t="s">
        <v>125</v>
      </c>
      <c r="C42" s="6">
        <v>4010.71</v>
      </c>
      <c r="D42" s="6">
        <v>1473.08</v>
      </c>
      <c r="E42" s="6">
        <v>2696</v>
      </c>
      <c r="F42" s="6">
        <v>1200</v>
      </c>
      <c r="G42" s="6">
        <v>1700</v>
      </c>
    </row>
    <row r="43" spans="1:8" ht="15.75" x14ac:dyDescent="0.25">
      <c r="A43" s="3">
        <v>560000</v>
      </c>
      <c r="B43" s="4" t="s">
        <v>235</v>
      </c>
      <c r="C43" s="6">
        <v>106807.79</v>
      </c>
      <c r="D43" s="6">
        <v>120909.01</v>
      </c>
      <c r="E43" s="6">
        <v>143050</v>
      </c>
      <c r="F43" s="6">
        <v>136000</v>
      </c>
      <c r="G43" s="6">
        <v>133000</v>
      </c>
      <c r="H43" s="2" t="s">
        <v>431</v>
      </c>
    </row>
    <row r="44" spans="1:8" ht="15.75" x14ac:dyDescent="0.25">
      <c r="A44" s="3">
        <v>560050</v>
      </c>
      <c r="B44" s="4" t="s">
        <v>236</v>
      </c>
      <c r="C44" s="6">
        <v>1810</v>
      </c>
      <c r="D44" s="6">
        <v>1155</v>
      </c>
      <c r="E44" s="6">
        <v>1273</v>
      </c>
      <c r="F44" s="6">
        <v>1200</v>
      </c>
      <c r="G44" s="6">
        <v>1500</v>
      </c>
    </row>
    <row r="45" spans="1:8" ht="15.75" x14ac:dyDescent="0.25">
      <c r="A45" s="3">
        <v>560100</v>
      </c>
      <c r="B45" s="4" t="s">
        <v>237</v>
      </c>
      <c r="C45" s="6">
        <v>7830</v>
      </c>
      <c r="D45" s="6">
        <v>7830</v>
      </c>
      <c r="E45" s="6">
        <v>7830</v>
      </c>
      <c r="F45" s="6">
        <v>7830</v>
      </c>
      <c r="G45" s="6">
        <v>10500</v>
      </c>
    </row>
    <row r="46" spans="1:8" ht="15.75" x14ac:dyDescent="0.25">
      <c r="A46" s="3">
        <v>560150</v>
      </c>
      <c r="B46" s="4" t="s">
        <v>238</v>
      </c>
      <c r="C46" s="6">
        <v>4875.51</v>
      </c>
      <c r="D46" s="6">
        <v>4423.5600000000004</v>
      </c>
      <c r="E46" s="6">
        <v>5195</v>
      </c>
      <c r="F46" s="6">
        <v>16000</v>
      </c>
      <c r="G46" s="6">
        <v>8000</v>
      </c>
    </row>
    <row r="47" spans="1:8" ht="15.75" x14ac:dyDescent="0.25">
      <c r="A47" s="3">
        <v>562000</v>
      </c>
      <c r="B47" s="4" t="s">
        <v>239</v>
      </c>
      <c r="C47" s="6">
        <v>6827.18</v>
      </c>
      <c r="D47" s="6">
        <v>10834.87</v>
      </c>
      <c r="E47" s="6">
        <v>150</v>
      </c>
      <c r="F47" s="6">
        <v>10000</v>
      </c>
      <c r="G47" s="6">
        <v>10000</v>
      </c>
    </row>
    <row r="48" spans="1:8" ht="15.75" x14ac:dyDescent="0.25">
      <c r="A48" s="3">
        <v>562050</v>
      </c>
      <c r="B48" s="4" t="s">
        <v>240</v>
      </c>
      <c r="C48" s="6">
        <v>7301.48</v>
      </c>
      <c r="D48" s="6">
        <v>5773.34</v>
      </c>
      <c r="E48" s="6">
        <v>4737</v>
      </c>
      <c r="F48" s="6">
        <v>8000</v>
      </c>
      <c r="G48" s="6">
        <v>8000</v>
      </c>
    </row>
    <row r="49" spans="1:8" ht="15.75" x14ac:dyDescent="0.25">
      <c r="A49" s="3">
        <v>570050</v>
      </c>
      <c r="B49" s="4" t="s">
        <v>241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8" ht="15.75" x14ac:dyDescent="0.25">
      <c r="A50" s="3">
        <v>580800</v>
      </c>
      <c r="B50" s="4" t="s">
        <v>167</v>
      </c>
      <c r="C50" s="6">
        <v>9130.18</v>
      </c>
      <c r="D50" s="6">
        <v>16811.740000000002</v>
      </c>
      <c r="E50" s="6">
        <v>0</v>
      </c>
      <c r="F50" s="6"/>
      <c r="G50" s="6"/>
    </row>
    <row r="51" spans="1:8" ht="30.75" x14ac:dyDescent="0.25">
      <c r="A51" s="3">
        <v>595100</v>
      </c>
      <c r="B51" s="4" t="s">
        <v>242</v>
      </c>
      <c r="C51" s="6">
        <v>116172</v>
      </c>
      <c r="D51" s="6">
        <v>135846</v>
      </c>
      <c r="E51" s="6">
        <v>163174</v>
      </c>
      <c r="F51" s="6">
        <v>175000</v>
      </c>
      <c r="G51" s="6">
        <f>218000+13164</f>
        <v>231164</v>
      </c>
      <c r="H51" s="97" t="s">
        <v>413</v>
      </c>
    </row>
    <row r="52" spans="1:8" ht="16.5" thickBot="1" x14ac:dyDescent="0.3">
      <c r="A52" s="3">
        <v>595200</v>
      </c>
      <c r="B52" s="4" t="s">
        <v>243</v>
      </c>
      <c r="C52" s="6">
        <v>9176.92</v>
      </c>
      <c r="D52" s="6">
        <v>11795.28</v>
      </c>
      <c r="E52" s="6">
        <v>15913.87</v>
      </c>
      <c r="F52" s="6">
        <v>17200</v>
      </c>
      <c r="G52" s="6">
        <v>12000</v>
      </c>
    </row>
    <row r="53" spans="1:8" ht="16.5" thickBot="1" x14ac:dyDescent="0.3">
      <c r="A53" s="7" t="s">
        <v>11</v>
      </c>
      <c r="B53" s="8"/>
      <c r="C53" s="84">
        <f>SUM(C17:C52)</f>
        <v>545509.41</v>
      </c>
      <c r="D53" s="84">
        <f>SUM(D17:D52)</f>
        <v>574316.01</v>
      </c>
      <c r="E53" s="84">
        <f>SUM(E17:E52)</f>
        <v>676468</v>
      </c>
      <c r="F53" s="84">
        <f>SUM(F17:F52)</f>
        <v>642813</v>
      </c>
      <c r="G53" s="84">
        <f>SUM(G17:G52)</f>
        <v>612964</v>
      </c>
    </row>
    <row r="54" spans="1:8" ht="15.75" thickBot="1" x14ac:dyDescent="0.25"/>
    <row r="55" spans="1:8" ht="16.5" thickBot="1" x14ac:dyDescent="0.3">
      <c r="A55" s="9" t="s">
        <v>48</v>
      </c>
      <c r="B55" s="10"/>
      <c r="C55" s="10"/>
      <c r="D55" s="10"/>
      <c r="E55" s="10"/>
      <c r="F55" s="10"/>
      <c r="G55" s="10"/>
    </row>
    <row r="56" spans="1:8" ht="15" customHeight="1" x14ac:dyDescent="0.2">
      <c r="A56" s="150"/>
      <c r="B56" s="152" t="s">
        <v>12</v>
      </c>
      <c r="C56" s="152" t="s">
        <v>6</v>
      </c>
      <c r="D56" s="152" t="s">
        <v>5</v>
      </c>
      <c r="E56" s="152" t="str">
        <f>E4</f>
        <v>FY 2024 
Actuals</v>
      </c>
      <c r="F56" s="152" t="str">
        <f t="shared" ref="F56:G56" si="1">F4</f>
        <v>FY 2025 
Adopted Budget</v>
      </c>
      <c r="G56" s="152" t="str">
        <f t="shared" si="1"/>
        <v>FY 2026
Proposed Budget</v>
      </c>
    </row>
    <row r="57" spans="1:8" ht="31.5" customHeight="1" thickBot="1" x14ac:dyDescent="0.25">
      <c r="A57" s="151"/>
      <c r="B57" s="153"/>
      <c r="C57" s="153"/>
      <c r="D57" s="153" t="s">
        <v>5</v>
      </c>
      <c r="E57" s="153" t="s">
        <v>4</v>
      </c>
      <c r="F57" s="153" t="s">
        <v>4</v>
      </c>
      <c r="G57" s="153" t="s">
        <v>4</v>
      </c>
    </row>
    <row r="58" spans="1:8" ht="15.75" x14ac:dyDescent="0.25">
      <c r="A58" s="3"/>
      <c r="B58" s="4" t="s">
        <v>13</v>
      </c>
      <c r="C58" s="6">
        <f>C13</f>
        <v>513225.76000000013</v>
      </c>
      <c r="D58" s="6">
        <f>D13</f>
        <v>551660.01</v>
      </c>
      <c r="E58" s="47">
        <f>E13</f>
        <v>551760.74999999988</v>
      </c>
      <c r="F58" s="47">
        <f>F13</f>
        <v>658112</v>
      </c>
      <c r="G58" s="47">
        <f>G13</f>
        <v>690538.88699999999</v>
      </c>
    </row>
    <row r="59" spans="1:8" ht="15.75" x14ac:dyDescent="0.25">
      <c r="A59" s="3"/>
      <c r="B59" s="4" t="s">
        <v>14</v>
      </c>
      <c r="C59" s="6">
        <f>C53</f>
        <v>545509.41</v>
      </c>
      <c r="D59" s="6">
        <f>D53</f>
        <v>574316.01</v>
      </c>
      <c r="E59" s="6">
        <f>E53</f>
        <v>676468</v>
      </c>
      <c r="F59" s="6">
        <f>F53</f>
        <v>642813</v>
      </c>
      <c r="G59" s="6">
        <f>G53</f>
        <v>612964</v>
      </c>
    </row>
    <row r="60" spans="1:8" ht="15.75" x14ac:dyDescent="0.25">
      <c r="A60" s="3"/>
      <c r="B60" s="4" t="s">
        <v>29</v>
      </c>
      <c r="C60" s="6">
        <v>0</v>
      </c>
      <c r="D60" s="6">
        <v>0</v>
      </c>
      <c r="E60" s="6"/>
      <c r="F60" s="6">
        <f>87196+17720</f>
        <v>104916</v>
      </c>
      <c r="G60" s="6">
        <f>87195+616455</f>
        <v>703650</v>
      </c>
      <c r="H60" s="2" t="s">
        <v>416</v>
      </c>
    </row>
    <row r="61" spans="1:8" ht="16.5" thickBot="1" x14ac:dyDescent="0.3">
      <c r="A61" s="3"/>
      <c r="B61" s="4" t="s">
        <v>15</v>
      </c>
      <c r="C61" s="6">
        <v>197060.86</v>
      </c>
      <c r="D61" s="6">
        <v>28254.74</v>
      </c>
      <c r="E61" s="6">
        <v>290148</v>
      </c>
      <c r="F61" s="6">
        <f>50000-3465</f>
        <v>46535</v>
      </c>
      <c r="G61" s="6">
        <v>0</v>
      </c>
      <c r="H61" s="37" t="s">
        <v>215</v>
      </c>
    </row>
    <row r="62" spans="1:8" ht="15.75" x14ac:dyDescent="0.25">
      <c r="A62" s="11" t="s">
        <v>16</v>
      </c>
      <c r="B62" s="12"/>
      <c r="C62" s="85">
        <f>SUM(C58:C61)</f>
        <v>1255796.0300000003</v>
      </c>
      <c r="D62" s="85">
        <f>SUM(D58:D61)</f>
        <v>1154230.76</v>
      </c>
      <c r="E62" s="85">
        <f>SUM(E58:E61)</f>
        <v>1518376.75</v>
      </c>
      <c r="F62" s="85">
        <f>SUM(F58:F61)</f>
        <v>1452376</v>
      </c>
      <c r="G62" s="85">
        <f>SUM(G58:G61)</f>
        <v>2007152.8870000001</v>
      </c>
    </row>
    <row r="64" spans="1:8" x14ac:dyDescent="0.2">
      <c r="A64" s="89" t="s">
        <v>394</v>
      </c>
    </row>
    <row r="65" spans="1:8" x14ac:dyDescent="0.2">
      <c r="A65" s="2" t="s">
        <v>397</v>
      </c>
    </row>
    <row r="66" spans="1:8" x14ac:dyDescent="0.2">
      <c r="A66" s="2" t="s">
        <v>393</v>
      </c>
      <c r="H66" s="111"/>
    </row>
    <row r="68" spans="1:8" x14ac:dyDescent="0.2">
      <c r="A68" s="89" t="s">
        <v>401</v>
      </c>
    </row>
    <row r="69" spans="1:8" x14ac:dyDescent="0.2">
      <c r="A69" s="2" t="s">
        <v>415</v>
      </c>
      <c r="G69" s="110">
        <f>-PMT(0.04,10,5000000)</f>
        <v>616454.72165068262</v>
      </c>
    </row>
    <row r="70" spans="1:8" x14ac:dyDescent="0.2">
      <c r="B70" s="116" t="s">
        <v>440</v>
      </c>
      <c r="G70" s="123">
        <f>G69*0.26</f>
        <v>160278.22762917748</v>
      </c>
    </row>
    <row r="71" spans="1:8" x14ac:dyDescent="0.2">
      <c r="B71" s="116" t="s">
        <v>441</v>
      </c>
      <c r="G71" s="123">
        <f>G69*0.1</f>
        <v>61645.472165068262</v>
      </c>
    </row>
  </sheetData>
  <mergeCells count="8">
    <mergeCell ref="G56:G57"/>
    <mergeCell ref="A1:G2"/>
    <mergeCell ref="A56:A57"/>
    <mergeCell ref="B56:B57"/>
    <mergeCell ref="C56:C57"/>
    <mergeCell ref="D56:D57"/>
    <mergeCell ref="E56:E57"/>
    <mergeCell ref="F56:F57"/>
  </mergeCells>
  <pageMargins left="0.45" right="0.45" top="0.75" bottom="0.75" header="0.3" footer="0.3"/>
  <pageSetup scale="63" fitToHeight="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B639-CBF0-4C66-8C88-0CEC45E00835}">
  <sheetPr>
    <pageSetUpPr fitToPage="1"/>
  </sheetPr>
  <dimension ref="A1:J76"/>
  <sheetViews>
    <sheetView showGridLines="0" zoomScaleNormal="10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8" width="38.85546875" style="2" customWidth="1"/>
    <col min="9" max="9" width="9.140625" style="2"/>
    <col min="10" max="10" width="16.140625" style="2" bestFit="1" customWidth="1"/>
    <col min="11" max="16384" width="9.140625" style="2"/>
  </cols>
  <sheetData>
    <row r="1" spans="1:8" ht="34.5" x14ac:dyDescent="0.45">
      <c r="A1" s="144" t="s">
        <v>366</v>
      </c>
      <c r="B1" s="144"/>
      <c r="C1" s="144"/>
      <c r="D1" s="144"/>
      <c r="E1" s="144"/>
      <c r="F1" s="144"/>
      <c r="G1" s="144"/>
    </row>
    <row r="2" spans="1:8" x14ac:dyDescent="0.2">
      <c r="A2" s="145"/>
      <c r="B2" s="145"/>
      <c r="C2" s="145"/>
      <c r="D2" s="145"/>
      <c r="E2" s="145"/>
      <c r="F2" s="145"/>
    </row>
    <row r="3" spans="1:8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8" ht="31.5" x14ac:dyDescent="0.2">
      <c r="A4" s="5" t="s">
        <v>1</v>
      </c>
      <c r="B4" s="5" t="s">
        <v>2</v>
      </c>
      <c r="C4" s="5" t="s">
        <v>6</v>
      </c>
      <c r="D4" s="5" t="s">
        <v>5</v>
      </c>
      <c r="E4" s="5" t="s">
        <v>350</v>
      </c>
      <c r="F4" s="5" t="s">
        <v>349</v>
      </c>
      <c r="G4" s="5" t="s">
        <v>357</v>
      </c>
    </row>
    <row r="5" spans="1:8" ht="15.75" x14ac:dyDescent="0.25">
      <c r="A5" s="3">
        <v>500000</v>
      </c>
      <c r="B5" s="4" t="s">
        <v>119</v>
      </c>
      <c r="C5" s="36">
        <v>351682.66</v>
      </c>
      <c r="D5" s="36">
        <v>324899.14</v>
      </c>
      <c r="E5" s="36">
        <v>385672</v>
      </c>
      <c r="F5" s="36">
        <v>407500</v>
      </c>
      <c r="G5" s="36">
        <f>374835+41902+1806</f>
        <v>418543</v>
      </c>
    </row>
    <row r="6" spans="1:8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8" ht="15.75" x14ac:dyDescent="0.25">
      <c r="A7" s="3">
        <v>501000</v>
      </c>
      <c r="B7" s="4" t="s">
        <v>122</v>
      </c>
      <c r="C7" s="6">
        <v>24375.81</v>
      </c>
      <c r="D7" s="6">
        <v>23814.11</v>
      </c>
      <c r="E7" s="6">
        <v>28373.29</v>
      </c>
      <c r="F7" s="6">
        <v>37200</v>
      </c>
      <c r="G7" s="6">
        <v>38200</v>
      </c>
    </row>
    <row r="8" spans="1:8" ht="15.75" x14ac:dyDescent="0.25">
      <c r="A8" s="3">
        <v>501100</v>
      </c>
      <c r="B8" s="4" t="s">
        <v>123</v>
      </c>
      <c r="C8" s="6">
        <v>115702.07</v>
      </c>
      <c r="D8" s="6">
        <v>86569</v>
      </c>
      <c r="E8" s="6">
        <v>104087.48</v>
      </c>
      <c r="F8" s="6">
        <v>104000</v>
      </c>
      <c r="G8" s="6">
        <f>103872*1.103</f>
        <v>114570.81599999999</v>
      </c>
      <c r="H8" s="2" t="s">
        <v>381</v>
      </c>
    </row>
    <row r="9" spans="1:8" ht="15.75" x14ac:dyDescent="0.25">
      <c r="A9" s="3">
        <v>501150</v>
      </c>
      <c r="B9" s="4" t="s">
        <v>129</v>
      </c>
      <c r="C9" s="6">
        <v>1775.04</v>
      </c>
      <c r="D9" s="6">
        <v>1525.28</v>
      </c>
      <c r="E9" s="6">
        <v>1827.04</v>
      </c>
      <c r="F9" s="6">
        <v>2000</v>
      </c>
      <c r="G9" s="6">
        <f>2000*1.103</f>
        <v>2206</v>
      </c>
      <c r="H9" s="2" t="s">
        <v>381</v>
      </c>
    </row>
    <row r="10" spans="1:8" ht="15.75" x14ac:dyDescent="0.25">
      <c r="A10" s="3">
        <v>501200</v>
      </c>
      <c r="B10" s="4" t="s">
        <v>130</v>
      </c>
      <c r="C10" s="6">
        <v>57389.87</v>
      </c>
      <c r="D10" s="6">
        <v>49655.13</v>
      </c>
      <c r="E10" s="6">
        <v>60805.67</v>
      </c>
      <c r="F10" s="6">
        <v>80000</v>
      </c>
      <c r="G10" s="6">
        <v>132000</v>
      </c>
      <c r="H10" s="2" t="s">
        <v>382</v>
      </c>
    </row>
    <row r="11" spans="1:8" ht="15.75" x14ac:dyDescent="0.25">
      <c r="A11" s="3">
        <v>501225</v>
      </c>
      <c r="B11" s="4" t="s">
        <v>131</v>
      </c>
      <c r="C11" s="6">
        <v>1060.23</v>
      </c>
      <c r="D11" s="6">
        <v>635.92999999999995</v>
      </c>
      <c r="E11" s="6">
        <v>1126.9100000000001</v>
      </c>
      <c r="F11" s="6">
        <v>1662</v>
      </c>
      <c r="G11" s="6">
        <v>1100</v>
      </c>
    </row>
    <row r="12" spans="1:8" ht="16.5" thickBot="1" x14ac:dyDescent="0.3">
      <c r="A12" s="3">
        <v>501250</v>
      </c>
      <c r="B12" s="4" t="s">
        <v>124</v>
      </c>
      <c r="C12" s="6">
        <v>4240.59</v>
      </c>
      <c r="D12" s="6">
        <v>3934.2</v>
      </c>
      <c r="E12" s="6">
        <v>3804.7</v>
      </c>
      <c r="F12" s="6">
        <v>4500</v>
      </c>
      <c r="G12" s="6">
        <v>4200</v>
      </c>
    </row>
    <row r="13" spans="1:8" ht="16.5" thickBot="1" x14ac:dyDescent="0.3">
      <c r="A13" s="7" t="s">
        <v>10</v>
      </c>
      <c r="B13" s="8"/>
      <c r="C13" s="31">
        <f>SUM(C5:C12)</f>
        <v>556226.2699999999</v>
      </c>
      <c r="D13" s="31">
        <f>SUM(D5:D12)</f>
        <v>491032.79000000004</v>
      </c>
      <c r="E13" s="31">
        <f>SUM(E5:E12)</f>
        <v>585697.09</v>
      </c>
      <c r="F13" s="31">
        <f>SUM(F5:F12)</f>
        <v>636862</v>
      </c>
      <c r="G13" s="31">
        <f>SUM(G5:G12)</f>
        <v>710819.81599999999</v>
      </c>
    </row>
    <row r="15" spans="1:8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8" ht="31.5" x14ac:dyDescent="0.2">
      <c r="A16" s="5" t="s">
        <v>1</v>
      </c>
      <c r="B16" s="5" t="s">
        <v>2</v>
      </c>
      <c r="C16" s="5" t="s">
        <v>6</v>
      </c>
      <c r="D16" s="5" t="s">
        <v>5</v>
      </c>
      <c r="E16" s="5" t="str">
        <f>E4</f>
        <v>FY 2024 
Actuals</v>
      </c>
      <c r="F16" s="5" t="str">
        <f>F4</f>
        <v>FY 2025 
Adopted Budget</v>
      </c>
      <c r="G16" s="5" t="str">
        <f>G4</f>
        <v>FY 2026 
Proposed Budget</v>
      </c>
    </row>
    <row r="17" spans="1:7" ht="15.75" x14ac:dyDescent="0.25">
      <c r="A17" s="3">
        <v>501300</v>
      </c>
      <c r="B17" s="4" t="s">
        <v>132</v>
      </c>
      <c r="C17" s="36">
        <v>14063.12</v>
      </c>
      <c r="D17" s="36">
        <v>14991.84</v>
      </c>
      <c r="E17" s="36">
        <v>15840.68</v>
      </c>
      <c r="F17" s="36">
        <v>15600</v>
      </c>
      <c r="G17" s="36">
        <v>15500</v>
      </c>
    </row>
    <row r="18" spans="1:7" ht="15.75" x14ac:dyDescent="0.25">
      <c r="A18" s="3">
        <v>501350</v>
      </c>
      <c r="B18" s="4" t="s">
        <v>133</v>
      </c>
      <c r="C18" s="6">
        <v>1287</v>
      </c>
      <c r="D18" s="6">
        <v>1411</v>
      </c>
      <c r="E18" s="6">
        <v>1433.68</v>
      </c>
      <c r="F18" s="6">
        <v>1350</v>
      </c>
      <c r="G18" s="6">
        <v>2500</v>
      </c>
    </row>
    <row r="19" spans="1:7" ht="15.75" x14ac:dyDescent="0.25">
      <c r="A19" s="3">
        <v>510050</v>
      </c>
      <c r="B19" s="4" t="s">
        <v>135</v>
      </c>
      <c r="C19" s="6">
        <v>1062.51</v>
      </c>
      <c r="D19" s="6">
        <v>0</v>
      </c>
      <c r="E19" s="6">
        <v>22779.57</v>
      </c>
      <c r="F19" s="6">
        <v>0</v>
      </c>
      <c r="G19" s="6">
        <v>0</v>
      </c>
    </row>
    <row r="20" spans="1:7" ht="15.75" x14ac:dyDescent="0.25">
      <c r="A20" s="3">
        <v>510100</v>
      </c>
      <c r="B20" s="4" t="s">
        <v>136</v>
      </c>
      <c r="C20" s="6">
        <v>8125</v>
      </c>
      <c r="D20" s="6">
        <v>9095.8700000000008</v>
      </c>
      <c r="E20" s="6">
        <v>20500</v>
      </c>
      <c r="F20" s="6">
        <v>10833</v>
      </c>
      <c r="G20" s="6">
        <v>10000</v>
      </c>
    </row>
    <row r="21" spans="1:7" ht="15.75" x14ac:dyDescent="0.25">
      <c r="A21" s="3">
        <v>510150</v>
      </c>
      <c r="B21" s="4" t="s">
        <v>138</v>
      </c>
      <c r="C21" s="6">
        <v>1940.91</v>
      </c>
      <c r="D21" s="6">
        <v>2095.7800000000002</v>
      </c>
      <c r="E21" s="6">
        <v>3141.94</v>
      </c>
      <c r="F21" s="6">
        <v>2000</v>
      </c>
      <c r="G21" s="6">
        <v>5800</v>
      </c>
    </row>
    <row r="22" spans="1:7" ht="15.75" x14ac:dyDescent="0.25">
      <c r="A22" s="3">
        <v>510250</v>
      </c>
      <c r="B22" s="4" t="s">
        <v>140</v>
      </c>
      <c r="C22" s="6">
        <v>0</v>
      </c>
      <c r="D22" s="6">
        <v>770</v>
      </c>
      <c r="E22" s="6">
        <v>600</v>
      </c>
      <c r="F22" s="6">
        <v>2000</v>
      </c>
      <c r="G22" s="6">
        <v>900</v>
      </c>
    </row>
    <row r="23" spans="1:7" ht="15.75" x14ac:dyDescent="0.25">
      <c r="A23" s="3">
        <v>510350</v>
      </c>
      <c r="B23" s="4" t="s">
        <v>142</v>
      </c>
      <c r="C23" s="6">
        <v>0</v>
      </c>
      <c r="D23" s="6">
        <v>78.78</v>
      </c>
      <c r="E23" s="6">
        <v>0</v>
      </c>
      <c r="F23" s="6">
        <v>200</v>
      </c>
      <c r="G23" s="6">
        <v>0</v>
      </c>
    </row>
    <row r="24" spans="1:7" ht="15.75" x14ac:dyDescent="0.25">
      <c r="A24" s="3">
        <v>510400</v>
      </c>
      <c r="B24" s="4" t="s">
        <v>143</v>
      </c>
      <c r="C24" s="6">
        <v>6647.76</v>
      </c>
      <c r="D24" s="6">
        <v>7402</v>
      </c>
      <c r="E24" s="6">
        <v>7374.89</v>
      </c>
      <c r="F24" s="6">
        <v>7000</v>
      </c>
      <c r="G24" s="6">
        <v>3800</v>
      </c>
    </row>
    <row r="25" spans="1:7" ht="15.75" x14ac:dyDescent="0.25">
      <c r="A25" s="3">
        <v>510450</v>
      </c>
      <c r="B25" s="4" t="s">
        <v>145</v>
      </c>
      <c r="C25" s="6">
        <v>1938.79</v>
      </c>
      <c r="D25" s="6">
        <v>2448.1799999999998</v>
      </c>
      <c r="E25" s="6">
        <v>2681.98</v>
      </c>
      <c r="F25" s="6">
        <v>2400</v>
      </c>
      <c r="G25" s="6">
        <v>3500</v>
      </c>
    </row>
    <row r="26" spans="1:7" ht="15.75" x14ac:dyDescent="0.25">
      <c r="A26" s="3">
        <v>510500</v>
      </c>
      <c r="B26" s="4" t="s">
        <v>170</v>
      </c>
      <c r="C26" s="6">
        <v>1328.47</v>
      </c>
      <c r="D26" s="6">
        <v>993.04</v>
      </c>
      <c r="E26" s="6">
        <v>4458.9799999999996</v>
      </c>
      <c r="F26" s="6">
        <v>2000</v>
      </c>
      <c r="G26" s="6">
        <v>6200</v>
      </c>
    </row>
    <row r="27" spans="1:7" ht="15.75" x14ac:dyDescent="0.25">
      <c r="A27" s="3">
        <v>510550</v>
      </c>
      <c r="B27" s="4" t="s">
        <v>146</v>
      </c>
      <c r="C27" s="6">
        <v>2670.84</v>
      </c>
      <c r="D27" s="6">
        <v>1045.31</v>
      </c>
      <c r="E27" s="6">
        <v>1542.87</v>
      </c>
      <c r="F27" s="6">
        <v>2000</v>
      </c>
      <c r="G27" s="6">
        <v>1600</v>
      </c>
    </row>
    <row r="28" spans="1:7" ht="15.75" x14ac:dyDescent="0.25">
      <c r="A28" s="3">
        <v>510600</v>
      </c>
      <c r="B28" s="4" t="s">
        <v>147</v>
      </c>
      <c r="C28" s="6">
        <v>14418.19</v>
      </c>
      <c r="D28" s="6">
        <v>6420.88</v>
      </c>
      <c r="E28" s="6">
        <v>14387.02</v>
      </c>
      <c r="F28" s="6">
        <v>25000</v>
      </c>
      <c r="G28" s="6">
        <v>13600</v>
      </c>
    </row>
    <row r="29" spans="1:7" ht="15.75" x14ac:dyDescent="0.25">
      <c r="A29" s="3">
        <v>510625</v>
      </c>
      <c r="B29" s="4" t="s">
        <v>148</v>
      </c>
      <c r="C29" s="6">
        <v>2650.73</v>
      </c>
      <c r="D29" s="6">
        <v>3193.32</v>
      </c>
      <c r="E29" s="6">
        <v>2341.92</v>
      </c>
      <c r="F29" s="6">
        <v>0</v>
      </c>
      <c r="G29" s="6">
        <v>1100</v>
      </c>
    </row>
    <row r="30" spans="1:7" ht="15.75" x14ac:dyDescent="0.25">
      <c r="A30" s="3">
        <v>510700</v>
      </c>
      <c r="B30" s="4" t="s">
        <v>149</v>
      </c>
      <c r="C30" s="6">
        <v>3459.58</v>
      </c>
      <c r="D30" s="6">
        <v>7511.68</v>
      </c>
      <c r="E30" s="6">
        <v>2213.42</v>
      </c>
      <c r="F30" s="6">
        <v>3000</v>
      </c>
      <c r="G30" s="6">
        <v>2800</v>
      </c>
    </row>
    <row r="31" spans="1:7" ht="15.75" x14ac:dyDescent="0.25">
      <c r="A31" s="3">
        <v>510750</v>
      </c>
      <c r="B31" s="4" t="s">
        <v>150</v>
      </c>
      <c r="C31" s="6">
        <v>41.3</v>
      </c>
      <c r="D31" s="6">
        <v>1137</v>
      </c>
      <c r="E31" s="6">
        <v>67.680000000000007</v>
      </c>
      <c r="F31" s="6">
        <v>1000</v>
      </c>
      <c r="G31" s="6">
        <v>3800</v>
      </c>
    </row>
    <row r="32" spans="1:7" ht="15.75" x14ac:dyDescent="0.25">
      <c r="A32" s="3">
        <v>510800</v>
      </c>
      <c r="B32" s="4" t="s">
        <v>151</v>
      </c>
      <c r="C32" s="6">
        <v>5544.68</v>
      </c>
      <c r="D32" s="6">
        <v>5962.94</v>
      </c>
      <c r="E32" s="6">
        <v>9952.66</v>
      </c>
      <c r="F32" s="6">
        <v>11000</v>
      </c>
      <c r="G32" s="6">
        <v>4600</v>
      </c>
    </row>
    <row r="33" spans="1:7" ht="15.75" x14ac:dyDescent="0.25">
      <c r="A33" s="3">
        <v>510850</v>
      </c>
      <c r="B33" s="4" t="s">
        <v>172</v>
      </c>
      <c r="C33" s="6">
        <v>0</v>
      </c>
      <c r="D33" s="6">
        <v>0</v>
      </c>
      <c r="E33" s="6">
        <v>0</v>
      </c>
      <c r="F33" s="6">
        <v>500</v>
      </c>
      <c r="G33" s="6">
        <v>800</v>
      </c>
    </row>
    <row r="34" spans="1:7" ht="15.75" x14ac:dyDescent="0.25">
      <c r="A34" s="3">
        <v>510900</v>
      </c>
      <c r="B34" s="4" t="s">
        <v>152</v>
      </c>
      <c r="C34" s="6">
        <v>9842.8700000000008</v>
      </c>
      <c r="D34" s="6">
        <v>569.1</v>
      </c>
      <c r="E34" s="6">
        <v>281.49</v>
      </c>
      <c r="F34" s="6">
        <v>5000</v>
      </c>
      <c r="G34" s="6">
        <v>5100</v>
      </c>
    </row>
    <row r="35" spans="1:7" ht="15.75" x14ac:dyDescent="0.25">
      <c r="A35" s="3">
        <v>511000</v>
      </c>
      <c r="B35" s="4" t="s">
        <v>153</v>
      </c>
      <c r="C35" s="6">
        <v>0</v>
      </c>
      <c r="D35" s="6">
        <v>1060.78</v>
      </c>
      <c r="E35" s="6">
        <v>1788.13</v>
      </c>
      <c r="F35" s="6">
        <v>5000</v>
      </c>
      <c r="G35" s="6">
        <v>4300</v>
      </c>
    </row>
    <row r="36" spans="1:7" ht="15.75" x14ac:dyDescent="0.25">
      <c r="A36" s="3">
        <v>511050</v>
      </c>
      <c r="B36" s="4" t="s">
        <v>154</v>
      </c>
      <c r="C36" s="6">
        <v>0</v>
      </c>
      <c r="D36" s="6">
        <v>0</v>
      </c>
      <c r="E36" s="6">
        <v>0</v>
      </c>
      <c r="F36" s="6">
        <v>1000</v>
      </c>
      <c r="G36" s="6">
        <v>0</v>
      </c>
    </row>
    <row r="37" spans="1:7" ht="15.75" x14ac:dyDescent="0.25">
      <c r="A37" s="3">
        <v>511100</v>
      </c>
      <c r="B37" s="4" t="s">
        <v>155</v>
      </c>
      <c r="C37" s="6">
        <v>6153.28</v>
      </c>
      <c r="D37" s="6">
        <v>12379.43</v>
      </c>
      <c r="E37" s="6">
        <v>18724.39</v>
      </c>
      <c r="F37" s="6">
        <v>12000</v>
      </c>
      <c r="G37" s="6">
        <v>7900</v>
      </c>
    </row>
    <row r="38" spans="1:7" ht="15.75" x14ac:dyDescent="0.25">
      <c r="A38" s="3">
        <v>511150</v>
      </c>
      <c r="B38" s="4" t="s">
        <v>156</v>
      </c>
      <c r="C38" s="6">
        <v>2292.94</v>
      </c>
      <c r="D38" s="6">
        <v>234.36</v>
      </c>
      <c r="E38" s="6">
        <v>288.14999999999998</v>
      </c>
      <c r="F38" s="6">
        <v>1200</v>
      </c>
      <c r="G38" s="6">
        <v>2800</v>
      </c>
    </row>
    <row r="39" spans="1:7" ht="15.75" x14ac:dyDescent="0.25">
      <c r="A39" s="3">
        <v>511200</v>
      </c>
      <c r="B39" s="4" t="s">
        <v>157</v>
      </c>
      <c r="C39" s="6">
        <v>176074.99</v>
      </c>
      <c r="D39" s="6">
        <v>178937.2</v>
      </c>
      <c r="E39" s="6">
        <v>164058.07</v>
      </c>
      <c r="F39" s="6">
        <v>172000</v>
      </c>
      <c r="G39" s="6">
        <v>160000</v>
      </c>
    </row>
    <row r="40" spans="1:7" ht="15.75" x14ac:dyDescent="0.25">
      <c r="A40" s="3">
        <v>511250</v>
      </c>
      <c r="B40" s="4" t="s">
        <v>158</v>
      </c>
      <c r="C40" s="6">
        <v>3862.28</v>
      </c>
      <c r="D40" s="6">
        <v>3245.8</v>
      </c>
      <c r="E40" s="6">
        <v>4580.87</v>
      </c>
      <c r="F40" s="6">
        <v>6000</v>
      </c>
      <c r="G40" s="6">
        <v>4800</v>
      </c>
    </row>
    <row r="41" spans="1:7" ht="15.75" x14ac:dyDescent="0.25">
      <c r="A41" s="3">
        <v>511300</v>
      </c>
      <c r="B41" s="4" t="s">
        <v>159</v>
      </c>
      <c r="C41" s="6">
        <v>4385.75</v>
      </c>
      <c r="D41" s="6">
        <v>4001.6</v>
      </c>
      <c r="E41" s="6">
        <v>5645.06</v>
      </c>
      <c r="F41" s="6">
        <v>6000</v>
      </c>
      <c r="G41" s="6">
        <v>5900</v>
      </c>
    </row>
    <row r="42" spans="1:7" ht="15.75" x14ac:dyDescent="0.25">
      <c r="A42" s="3">
        <v>511350</v>
      </c>
      <c r="B42" s="4" t="s">
        <v>160</v>
      </c>
      <c r="C42" s="6">
        <v>760.96</v>
      </c>
      <c r="D42" s="6">
        <v>769.32</v>
      </c>
      <c r="E42" s="6">
        <v>773.32</v>
      </c>
      <c r="F42" s="6">
        <v>800</v>
      </c>
      <c r="G42" s="6">
        <v>800</v>
      </c>
    </row>
    <row r="43" spans="1:7" ht="15.75" x14ac:dyDescent="0.25">
      <c r="A43" s="3">
        <v>511400</v>
      </c>
      <c r="B43" s="4" t="s">
        <v>194</v>
      </c>
      <c r="C43" s="6">
        <v>0</v>
      </c>
      <c r="D43" s="6">
        <v>0</v>
      </c>
      <c r="E43" s="6">
        <v>0</v>
      </c>
      <c r="F43" s="6">
        <v>1000</v>
      </c>
      <c r="G43" s="6">
        <v>0</v>
      </c>
    </row>
    <row r="44" spans="1:7" ht="15.75" x14ac:dyDescent="0.25">
      <c r="A44" s="3">
        <v>519000</v>
      </c>
      <c r="B44" s="4" t="s">
        <v>125</v>
      </c>
      <c r="C44" s="6">
        <v>1482.99</v>
      </c>
      <c r="D44" s="6">
        <v>4037.81</v>
      </c>
      <c r="E44" s="6">
        <v>2631.47</v>
      </c>
      <c r="F44" s="6">
        <v>2000</v>
      </c>
      <c r="G44" s="6">
        <v>1000</v>
      </c>
    </row>
    <row r="45" spans="1:7" ht="15.75" x14ac:dyDescent="0.25">
      <c r="A45" s="3">
        <v>561000</v>
      </c>
      <c r="B45" s="4" t="s">
        <v>192</v>
      </c>
      <c r="C45" s="6">
        <v>50355.42</v>
      </c>
      <c r="D45" s="6">
        <v>54461.82</v>
      </c>
      <c r="E45" s="6">
        <v>37248.71</v>
      </c>
      <c r="F45" s="6">
        <v>60000</v>
      </c>
      <c r="G45" s="6">
        <v>30000</v>
      </c>
    </row>
    <row r="46" spans="1:7" ht="15.75" x14ac:dyDescent="0.25">
      <c r="A46" s="3">
        <v>561100</v>
      </c>
      <c r="B46" s="4" t="s">
        <v>249</v>
      </c>
      <c r="C46" s="6">
        <v>10219</v>
      </c>
      <c r="D46" s="6">
        <v>9657</v>
      </c>
      <c r="E46" s="6">
        <v>10946.95</v>
      </c>
      <c r="F46" s="6">
        <v>13500</v>
      </c>
      <c r="G46" s="6">
        <v>18700</v>
      </c>
    </row>
    <row r="47" spans="1:7" ht="15.75" x14ac:dyDescent="0.25">
      <c r="A47" s="3">
        <v>561150</v>
      </c>
      <c r="B47" s="4" t="s">
        <v>250</v>
      </c>
      <c r="C47" s="6">
        <v>476.88</v>
      </c>
      <c r="D47" s="6">
        <v>493.18</v>
      </c>
      <c r="E47" s="6">
        <v>513.48</v>
      </c>
      <c r="F47" s="6">
        <v>1200</v>
      </c>
      <c r="G47" s="6">
        <v>1000</v>
      </c>
    </row>
    <row r="48" spans="1:7" ht="15.75" x14ac:dyDescent="0.25">
      <c r="A48" s="3">
        <v>561200</v>
      </c>
      <c r="B48" s="4" t="s">
        <v>251</v>
      </c>
      <c r="C48" s="6">
        <v>10809.16</v>
      </c>
      <c r="D48" s="6">
        <v>11953.15</v>
      </c>
      <c r="E48" s="6">
        <v>7983.81</v>
      </c>
      <c r="F48" s="6">
        <v>15000</v>
      </c>
      <c r="G48" s="6">
        <v>22000</v>
      </c>
    </row>
    <row r="49" spans="1:10" ht="15.75" x14ac:dyDescent="0.25">
      <c r="A49" s="3">
        <v>561250</v>
      </c>
      <c r="B49" s="4" t="s">
        <v>252</v>
      </c>
      <c r="C49" s="6">
        <v>4078.9</v>
      </c>
      <c r="D49" s="6">
        <v>4580.66</v>
      </c>
      <c r="E49" s="6">
        <v>4589.3999999999996</v>
      </c>
      <c r="F49" s="6">
        <v>8000</v>
      </c>
      <c r="G49" s="6">
        <v>7100</v>
      </c>
    </row>
    <row r="50" spans="1:10" ht="15.75" x14ac:dyDescent="0.25">
      <c r="A50" s="3">
        <v>561300</v>
      </c>
      <c r="B50" s="4" t="s">
        <v>253</v>
      </c>
      <c r="C50" s="6">
        <v>1672.5</v>
      </c>
      <c r="D50" s="6">
        <v>2952.5</v>
      </c>
      <c r="E50" s="6">
        <v>2572.5</v>
      </c>
      <c r="F50" s="6">
        <v>4000</v>
      </c>
      <c r="G50" s="6">
        <v>2000</v>
      </c>
      <c r="J50" s="110"/>
    </row>
    <row r="51" spans="1:10" ht="15.75" x14ac:dyDescent="0.25">
      <c r="A51" s="3">
        <v>561350</v>
      </c>
      <c r="B51" s="4" t="s">
        <v>254</v>
      </c>
      <c r="C51" s="6">
        <v>14605.25</v>
      </c>
      <c r="D51" s="6">
        <v>19062.919999999998</v>
      </c>
      <c r="E51" s="6">
        <v>19660.52</v>
      </c>
      <c r="F51" s="6">
        <v>22000</v>
      </c>
      <c r="G51" s="6">
        <v>17000</v>
      </c>
    </row>
    <row r="52" spans="1:10" ht="15.75" x14ac:dyDescent="0.25">
      <c r="A52" s="3">
        <v>562000</v>
      </c>
      <c r="B52" s="4" t="s">
        <v>239</v>
      </c>
      <c r="C52" s="6">
        <v>26186.52</v>
      </c>
      <c r="D52" s="6">
        <v>41651.440000000002</v>
      </c>
      <c r="E52" s="6">
        <v>51229.82</v>
      </c>
      <c r="F52" s="6">
        <v>30000</v>
      </c>
      <c r="G52" s="6">
        <v>29000</v>
      </c>
    </row>
    <row r="53" spans="1:10" ht="15.75" x14ac:dyDescent="0.25">
      <c r="A53" s="3">
        <v>562050</v>
      </c>
      <c r="B53" s="4" t="s">
        <v>240</v>
      </c>
      <c r="C53" s="6">
        <v>30888.91</v>
      </c>
      <c r="D53" s="6">
        <v>36008.379999999997</v>
      </c>
      <c r="E53" s="6">
        <v>27710.54</v>
      </c>
      <c r="F53" s="6">
        <v>38000</v>
      </c>
      <c r="G53" s="6">
        <v>43000</v>
      </c>
    </row>
    <row r="54" spans="1:10" ht="15.75" x14ac:dyDescent="0.25">
      <c r="A54" s="3">
        <v>580800</v>
      </c>
      <c r="B54" s="4" t="s">
        <v>167</v>
      </c>
      <c r="C54" s="6">
        <v>30192.23</v>
      </c>
      <c r="D54" s="6">
        <v>42557.24</v>
      </c>
      <c r="E54" s="6">
        <v>0</v>
      </c>
      <c r="F54" s="6">
        <v>0</v>
      </c>
      <c r="G54" s="6">
        <v>0</v>
      </c>
    </row>
    <row r="55" spans="1:10" ht="30.75" x14ac:dyDescent="0.25">
      <c r="A55" s="3">
        <v>595100</v>
      </c>
      <c r="B55" s="4" t="s">
        <v>242</v>
      </c>
      <c r="C55" s="6">
        <v>114619</v>
      </c>
      <c r="D55" s="6">
        <v>131696</v>
      </c>
      <c r="E55" s="6">
        <v>156931</v>
      </c>
      <c r="F55" s="6">
        <f>175000</f>
        <v>175000</v>
      </c>
      <c r="G55" s="6">
        <f>148000+13164</f>
        <v>161164</v>
      </c>
      <c r="H55" s="97" t="s">
        <v>413</v>
      </c>
    </row>
    <row r="56" spans="1:10" ht="16.5" thickBot="1" x14ac:dyDescent="0.3">
      <c r="A56" s="3">
        <v>595200</v>
      </c>
      <c r="B56" s="4" t="s">
        <v>243</v>
      </c>
      <c r="C56" s="6">
        <v>9176.92</v>
      </c>
      <c r="D56" s="6">
        <v>11795.28</v>
      </c>
      <c r="E56" s="6">
        <v>15913.87</v>
      </c>
      <c r="F56" s="6">
        <v>17000</v>
      </c>
      <c r="G56" s="6">
        <v>13000</v>
      </c>
    </row>
    <row r="57" spans="1:10" ht="16.5" thickBot="1" x14ac:dyDescent="0.3">
      <c r="A57" s="7" t="s">
        <v>11</v>
      </c>
      <c r="B57" s="8"/>
      <c r="C57" s="31">
        <f>SUM(C17:C56)</f>
        <v>573315.63</v>
      </c>
      <c r="D57" s="31">
        <f>SUM(D17:D56)</f>
        <v>636662.59</v>
      </c>
      <c r="E57" s="31">
        <f>SUM(E17:E56)</f>
        <v>643388.84</v>
      </c>
      <c r="F57" s="31">
        <f>SUM(F17:F56)</f>
        <v>681583</v>
      </c>
      <c r="G57" s="31">
        <f>SUM(G17:G56)</f>
        <v>613064</v>
      </c>
    </row>
    <row r="58" spans="1:10" ht="15.75" thickBot="1" x14ac:dyDescent="0.25"/>
    <row r="59" spans="1:10" ht="16.5" thickBot="1" x14ac:dyDescent="0.3">
      <c r="A59" s="9" t="s">
        <v>48</v>
      </c>
      <c r="B59" s="10"/>
      <c r="C59" s="10"/>
      <c r="D59" s="10"/>
      <c r="E59" s="10"/>
      <c r="F59" s="10"/>
      <c r="G59" s="10"/>
    </row>
    <row r="60" spans="1:10" ht="15" customHeight="1" x14ac:dyDescent="0.2">
      <c r="A60" s="150"/>
      <c r="B60" s="152" t="s">
        <v>12</v>
      </c>
      <c r="C60" s="152" t="s">
        <v>6</v>
      </c>
      <c r="D60" s="152" t="s">
        <v>5</v>
      </c>
      <c r="E60" s="152" t="str">
        <f>E4</f>
        <v>FY 2024 
Actuals</v>
      </c>
      <c r="F60" s="152" t="str">
        <f>F4</f>
        <v>FY 2025 
Adopted Budget</v>
      </c>
      <c r="G60" s="152" t="str">
        <f>G4</f>
        <v>FY 2026 
Proposed Budget</v>
      </c>
    </row>
    <row r="61" spans="1:10" ht="31.5" customHeight="1" thickBot="1" x14ac:dyDescent="0.25">
      <c r="A61" s="151"/>
      <c r="B61" s="153"/>
      <c r="C61" s="153"/>
      <c r="D61" s="153" t="s">
        <v>5</v>
      </c>
      <c r="E61" s="153" t="s">
        <v>4</v>
      </c>
      <c r="F61" s="153" t="s">
        <v>3</v>
      </c>
      <c r="G61" s="153" t="s">
        <v>3</v>
      </c>
    </row>
    <row r="62" spans="1:10" ht="15.75" x14ac:dyDescent="0.25">
      <c r="A62" s="3"/>
      <c r="B62" s="4" t="s">
        <v>13</v>
      </c>
      <c r="C62" s="47">
        <f>C13</f>
        <v>556226.2699999999</v>
      </c>
      <c r="D62" s="47">
        <f>D13</f>
        <v>491032.79000000004</v>
      </c>
      <c r="E62" s="47">
        <f>E13</f>
        <v>585697.09</v>
      </c>
      <c r="F62" s="47">
        <f>F13</f>
        <v>636862</v>
      </c>
      <c r="G62" s="47">
        <f>G13</f>
        <v>710819.81599999999</v>
      </c>
    </row>
    <row r="63" spans="1:10" ht="15.75" x14ac:dyDescent="0.25">
      <c r="A63" s="3"/>
      <c r="B63" s="4" t="s">
        <v>14</v>
      </c>
      <c r="C63" s="6">
        <f>C57</f>
        <v>573315.63</v>
      </c>
      <c r="D63" s="6">
        <f>D57</f>
        <v>636662.59</v>
      </c>
      <c r="E63" s="6">
        <f>E57</f>
        <v>643388.84</v>
      </c>
      <c r="F63" s="6">
        <f>F57</f>
        <v>681583</v>
      </c>
      <c r="G63" s="6">
        <f>G57</f>
        <v>613064</v>
      </c>
    </row>
    <row r="64" spans="1:10" ht="30.75" x14ac:dyDescent="0.25">
      <c r="A64" s="3"/>
      <c r="B64" s="4" t="s">
        <v>29</v>
      </c>
      <c r="C64" s="6">
        <v>0</v>
      </c>
      <c r="D64" s="6">
        <v>0</v>
      </c>
      <c r="E64" s="6">
        <v>44845</v>
      </c>
      <c r="F64" s="6">
        <f>201650</f>
        <v>201650</v>
      </c>
      <c r="G64" s="6">
        <f>44845+840813</f>
        <v>885658</v>
      </c>
      <c r="H64" s="97" t="s">
        <v>408</v>
      </c>
    </row>
    <row r="65" spans="1:10" ht="16.5" thickBot="1" x14ac:dyDescent="0.3">
      <c r="A65" s="3"/>
      <c r="B65" s="4" t="s">
        <v>15</v>
      </c>
      <c r="C65" s="6">
        <v>44297.31</v>
      </c>
      <c r="D65" s="6">
        <v>11176.49</v>
      </c>
      <c r="E65" s="6">
        <f>19928</f>
        <v>19928</v>
      </c>
      <c r="F65" s="6">
        <v>93929</v>
      </c>
      <c r="G65" s="6"/>
    </row>
    <row r="66" spans="1:10" ht="15.75" x14ac:dyDescent="0.25">
      <c r="A66" s="11" t="s">
        <v>16</v>
      </c>
      <c r="B66" s="12"/>
      <c r="C66" s="31">
        <f>SUM(C62:C65)</f>
        <v>1173839.21</v>
      </c>
      <c r="D66" s="31">
        <f>SUM(D62:D65)</f>
        <v>1138871.8699999999</v>
      </c>
      <c r="E66" s="31">
        <f>SUM(E62:E65)</f>
        <v>1293858.93</v>
      </c>
      <c r="F66" s="31">
        <f>SUM(F62:F65)</f>
        <v>1614024</v>
      </c>
      <c r="G66" s="31">
        <f>SUM(G62:G65)</f>
        <v>2209541.8160000001</v>
      </c>
    </row>
    <row r="68" spans="1:10" x14ac:dyDescent="0.2">
      <c r="A68" s="89" t="s">
        <v>394</v>
      </c>
    </row>
    <row r="69" spans="1:10" x14ac:dyDescent="0.2">
      <c r="A69" s="2" t="s">
        <v>402</v>
      </c>
    </row>
    <row r="71" spans="1:10" x14ac:dyDescent="0.2">
      <c r="A71" s="89" t="s">
        <v>401</v>
      </c>
    </row>
    <row r="72" spans="1:10" x14ac:dyDescent="0.2">
      <c r="A72" s="2" t="s">
        <v>414</v>
      </c>
      <c r="G72" s="110">
        <f>-PMT(0.005,10,8181452)</f>
        <v>840812.50794443896</v>
      </c>
      <c r="H72" s="110"/>
    </row>
    <row r="73" spans="1:10" x14ac:dyDescent="0.2">
      <c r="B73" s="116" t="s">
        <v>440</v>
      </c>
      <c r="G73" s="123">
        <f>G72*0.26</f>
        <v>218611.25206555414</v>
      </c>
    </row>
    <row r="74" spans="1:10" x14ac:dyDescent="0.2">
      <c r="B74" s="116" t="s">
        <v>441</v>
      </c>
      <c r="G74" s="123">
        <f>G72*0.1</f>
        <v>84081.250794443898</v>
      </c>
      <c r="J74" s="37"/>
    </row>
    <row r="76" spans="1:10" x14ac:dyDescent="0.2">
      <c r="J76" s="37"/>
    </row>
  </sheetData>
  <mergeCells count="9">
    <mergeCell ref="G60:G61"/>
    <mergeCell ref="A1:G1"/>
    <mergeCell ref="A2:F2"/>
    <mergeCell ref="A60:A61"/>
    <mergeCell ref="B60:B61"/>
    <mergeCell ref="C60:C61"/>
    <mergeCell ref="D60:D61"/>
    <mergeCell ref="E60:E61"/>
    <mergeCell ref="F60:F61"/>
  </mergeCells>
  <pageMargins left="0.45" right="0.45" top="0.75" bottom="0.75" header="0.3" footer="0.3"/>
  <pageSetup scale="60" fitToHeight="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4EB1-7B69-44D7-908E-A911C69ED18A}">
  <sheetPr>
    <pageSetUpPr fitToPage="1"/>
  </sheetPr>
  <dimension ref="A1:H60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42578125" style="2" customWidth="1"/>
    <col min="3" max="7" width="21" style="2" customWidth="1"/>
    <col min="8" max="16384" width="9.140625" style="2"/>
  </cols>
  <sheetData>
    <row r="1" spans="1:8" ht="34.5" x14ac:dyDescent="0.45">
      <c r="A1" s="144" t="s">
        <v>338</v>
      </c>
      <c r="B1" s="144"/>
      <c r="C1" s="144"/>
      <c r="D1" s="144"/>
      <c r="E1" s="144"/>
      <c r="F1" s="144"/>
      <c r="G1" s="144"/>
    </row>
    <row r="2" spans="1:8" x14ac:dyDescent="0.2">
      <c r="A2" s="145"/>
      <c r="B2" s="145"/>
      <c r="C2" s="145"/>
      <c r="D2" s="145"/>
      <c r="E2" s="145"/>
      <c r="F2" s="145"/>
    </row>
    <row r="3" spans="1:8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8" ht="31.5" x14ac:dyDescent="0.2">
      <c r="A4" s="5" t="s">
        <v>1</v>
      </c>
      <c r="B4" s="5" t="s">
        <v>2</v>
      </c>
      <c r="C4" s="5" t="s">
        <v>6</v>
      </c>
      <c r="D4" s="5" t="s">
        <v>5</v>
      </c>
      <c r="E4" s="5" t="s">
        <v>350</v>
      </c>
      <c r="F4" s="5" t="s">
        <v>349</v>
      </c>
      <c r="G4" s="5" t="s">
        <v>357</v>
      </c>
    </row>
    <row r="5" spans="1:8" ht="15.75" x14ac:dyDescent="0.25">
      <c r="A5" s="3">
        <v>500000</v>
      </c>
      <c r="B5" s="4" t="s">
        <v>119</v>
      </c>
      <c r="C5" s="36">
        <v>171987.16</v>
      </c>
      <c r="D5" s="36">
        <v>177840.43</v>
      </c>
      <c r="E5" s="36">
        <v>185381</v>
      </c>
      <c r="F5" s="36">
        <v>197614</v>
      </c>
      <c r="G5" s="36">
        <v>300480</v>
      </c>
    </row>
    <row r="6" spans="1:8" ht="15.75" x14ac:dyDescent="0.25">
      <c r="A6" s="3">
        <v>500150</v>
      </c>
      <c r="B6" s="4" t="s">
        <v>290</v>
      </c>
      <c r="C6" s="6">
        <v>0</v>
      </c>
      <c r="D6" s="6">
        <v>0</v>
      </c>
      <c r="E6" s="6">
        <v>0</v>
      </c>
      <c r="F6" s="6">
        <v>0</v>
      </c>
      <c r="G6" s="36">
        <v>0</v>
      </c>
    </row>
    <row r="7" spans="1:8" ht="15.75" x14ac:dyDescent="0.25">
      <c r="A7" s="3">
        <v>501000</v>
      </c>
      <c r="B7" s="4" t="s">
        <v>122</v>
      </c>
      <c r="C7" s="6">
        <v>13782.3</v>
      </c>
      <c r="D7" s="6">
        <v>13124.48</v>
      </c>
      <c r="E7" s="36">
        <v>13592</v>
      </c>
      <c r="F7" s="36">
        <v>15150</v>
      </c>
      <c r="G7" s="36">
        <f>22269*1.52</f>
        <v>33848.879999999997</v>
      </c>
    </row>
    <row r="8" spans="1:8" ht="15.75" x14ac:dyDescent="0.25">
      <c r="A8" s="3">
        <v>501100</v>
      </c>
      <c r="B8" s="4" t="s">
        <v>123</v>
      </c>
      <c r="C8" s="6">
        <v>52932</v>
      </c>
      <c r="D8" s="6">
        <v>54866</v>
      </c>
      <c r="E8" s="6">
        <v>54340</v>
      </c>
      <c r="F8" s="6">
        <v>55500</v>
      </c>
      <c r="G8" s="6">
        <f>78200*1.103</f>
        <v>86254.599999999991</v>
      </c>
      <c r="H8" s="2" t="s">
        <v>381</v>
      </c>
    </row>
    <row r="9" spans="1:8" ht="15.75" x14ac:dyDescent="0.25">
      <c r="A9" s="3">
        <v>501150</v>
      </c>
      <c r="B9" s="4" t="s">
        <v>129</v>
      </c>
      <c r="C9" s="6">
        <v>919.8</v>
      </c>
      <c r="D9" s="6">
        <v>931.54</v>
      </c>
      <c r="E9" s="6">
        <v>910</v>
      </c>
      <c r="F9" s="6">
        <v>1157</v>
      </c>
      <c r="G9" s="6">
        <f>1200*1.103</f>
        <v>1323.6</v>
      </c>
      <c r="H9" s="2" t="s">
        <v>381</v>
      </c>
    </row>
    <row r="10" spans="1:8" ht="15.75" x14ac:dyDescent="0.25">
      <c r="A10" s="3">
        <v>501200</v>
      </c>
      <c r="B10" s="4" t="s">
        <v>130</v>
      </c>
      <c r="C10" s="6">
        <v>30774</v>
      </c>
      <c r="D10" s="6">
        <v>28373</v>
      </c>
      <c r="E10" s="6">
        <v>30095</v>
      </c>
      <c r="F10" s="6">
        <v>39000</v>
      </c>
      <c r="G10" s="6">
        <v>89100</v>
      </c>
      <c r="H10" s="2" t="s">
        <v>382</v>
      </c>
    </row>
    <row r="11" spans="1:8" ht="15.75" x14ac:dyDescent="0.25">
      <c r="A11" s="3">
        <v>501225</v>
      </c>
      <c r="B11" s="4" t="s">
        <v>131</v>
      </c>
      <c r="C11" s="6"/>
      <c r="D11" s="6"/>
      <c r="E11" s="6">
        <v>251</v>
      </c>
      <c r="F11" s="6">
        <v>0</v>
      </c>
      <c r="G11" s="6">
        <v>600</v>
      </c>
    </row>
    <row r="12" spans="1:8" ht="16.5" thickBot="1" x14ac:dyDescent="0.3">
      <c r="A12" s="3">
        <v>501250</v>
      </c>
      <c r="B12" s="4" t="s">
        <v>124</v>
      </c>
      <c r="C12" s="6">
        <v>5360.25</v>
      </c>
      <c r="D12" s="6">
        <v>5769.26</v>
      </c>
      <c r="E12" s="6">
        <v>4513</v>
      </c>
      <c r="F12" s="6">
        <v>6000</v>
      </c>
      <c r="G12" s="6">
        <v>7800</v>
      </c>
    </row>
    <row r="13" spans="1:8" ht="16.5" thickBot="1" x14ac:dyDescent="0.3">
      <c r="A13" s="7" t="s">
        <v>10</v>
      </c>
      <c r="B13" s="8"/>
      <c r="C13" s="31">
        <f>SUM(C5:C12)</f>
        <v>275755.51</v>
      </c>
      <c r="D13" s="31">
        <f>SUM(D5:D12)</f>
        <v>280904.71000000002</v>
      </c>
      <c r="E13" s="31">
        <f>SUM(E5:E12)</f>
        <v>289082</v>
      </c>
      <c r="F13" s="31">
        <f>SUM(F5:F12)</f>
        <v>314421</v>
      </c>
      <c r="G13" s="31">
        <f>SUM(G5:G12)</f>
        <v>519407.07999999996</v>
      </c>
    </row>
    <row r="15" spans="1:8" ht="15.75" thickBot="1" x14ac:dyDescent="0.25">
      <c r="A15" s="1" t="s">
        <v>8</v>
      </c>
      <c r="B15" s="1"/>
      <c r="C15" s="1"/>
      <c r="D15" s="1"/>
      <c r="E15" s="1"/>
      <c r="F15" s="1"/>
      <c r="G15" s="1"/>
    </row>
    <row r="16" spans="1:8" ht="31.5" x14ac:dyDescent="0.2">
      <c r="A16" s="5" t="s">
        <v>1</v>
      </c>
      <c r="B16" s="5" t="s">
        <v>2</v>
      </c>
      <c r="C16" s="5" t="s">
        <v>6</v>
      </c>
      <c r="D16" s="5" t="s">
        <v>5</v>
      </c>
      <c r="E16" s="5" t="str">
        <f>E4</f>
        <v>FY 2024 
Actuals</v>
      </c>
      <c r="F16" s="5" t="str">
        <f>F4</f>
        <v>FY 2025 
Adopted Budget</v>
      </c>
      <c r="G16" s="5" t="str">
        <f>G4</f>
        <v>FY 2026 
Proposed Budget</v>
      </c>
    </row>
    <row r="17" spans="1:7" ht="15.75" x14ac:dyDescent="0.25">
      <c r="A17" s="3">
        <v>501300</v>
      </c>
      <c r="B17" s="4" t="s">
        <v>132</v>
      </c>
      <c r="C17" s="36">
        <v>1561.64</v>
      </c>
      <c r="D17" s="36">
        <v>1668.8</v>
      </c>
      <c r="E17" s="36">
        <v>1541</v>
      </c>
      <c r="F17" s="36">
        <v>1700</v>
      </c>
      <c r="G17" s="36">
        <v>1500</v>
      </c>
    </row>
    <row r="18" spans="1:7" ht="15.75" x14ac:dyDescent="0.25">
      <c r="A18" s="3">
        <v>501350</v>
      </c>
      <c r="B18" s="4" t="s">
        <v>133</v>
      </c>
      <c r="C18" s="6">
        <v>1985</v>
      </c>
      <c r="D18" s="6">
        <v>2045</v>
      </c>
      <c r="E18" s="6">
        <v>2093</v>
      </c>
      <c r="F18" s="6">
        <v>2100</v>
      </c>
      <c r="G18" s="6">
        <v>1800</v>
      </c>
    </row>
    <row r="19" spans="1:7" ht="15.75" x14ac:dyDescent="0.25">
      <c r="A19" s="3">
        <v>510450</v>
      </c>
      <c r="B19" s="4" t="s">
        <v>145</v>
      </c>
      <c r="C19" s="6">
        <v>667.9</v>
      </c>
      <c r="D19" s="6">
        <v>690.3</v>
      </c>
      <c r="E19" s="6">
        <v>686</v>
      </c>
      <c r="F19" s="6">
        <v>700</v>
      </c>
      <c r="G19" s="6">
        <v>2200</v>
      </c>
    </row>
    <row r="20" spans="1:7" ht="15.75" x14ac:dyDescent="0.25">
      <c r="A20" s="3">
        <v>510500</v>
      </c>
      <c r="B20" s="4" t="s">
        <v>170</v>
      </c>
      <c r="C20" s="6">
        <v>1068.55</v>
      </c>
      <c r="D20" s="6">
        <v>1514.69</v>
      </c>
      <c r="E20" s="6">
        <v>3248</v>
      </c>
      <c r="F20" s="6">
        <v>1500</v>
      </c>
      <c r="G20" s="6">
        <v>6000</v>
      </c>
    </row>
    <row r="21" spans="1:7" ht="15.75" x14ac:dyDescent="0.25">
      <c r="A21" s="3">
        <v>510550</v>
      </c>
      <c r="B21" s="4" t="s">
        <v>146</v>
      </c>
      <c r="C21" s="6">
        <v>0</v>
      </c>
      <c r="D21" s="6">
        <v>474</v>
      </c>
      <c r="E21" s="6">
        <v>813</v>
      </c>
      <c r="F21" s="6">
        <v>0</v>
      </c>
      <c r="G21" s="6">
        <v>2500</v>
      </c>
    </row>
    <row r="22" spans="1:7" ht="15.75" x14ac:dyDescent="0.25">
      <c r="A22" s="3">
        <v>510625</v>
      </c>
      <c r="B22" s="4" t="s">
        <v>164</v>
      </c>
      <c r="C22" s="6">
        <v>0</v>
      </c>
      <c r="D22" s="6">
        <v>1909.09</v>
      </c>
      <c r="E22" s="6">
        <v>1615</v>
      </c>
      <c r="F22" s="6">
        <v>0</v>
      </c>
      <c r="G22" s="6">
        <v>0</v>
      </c>
    </row>
    <row r="23" spans="1:7" ht="15.75" x14ac:dyDescent="0.25">
      <c r="A23" s="3">
        <v>510700</v>
      </c>
      <c r="B23" s="4" t="s">
        <v>149</v>
      </c>
      <c r="C23" s="6">
        <v>7923.4</v>
      </c>
      <c r="D23" s="6">
        <v>10939.01</v>
      </c>
      <c r="E23" s="6">
        <v>5872</v>
      </c>
      <c r="F23" s="6">
        <v>12000</v>
      </c>
      <c r="G23" s="6">
        <v>12500</v>
      </c>
    </row>
    <row r="24" spans="1:7" ht="15.75" x14ac:dyDescent="0.25">
      <c r="A24" s="3">
        <v>510750</v>
      </c>
      <c r="B24" s="4" t="s">
        <v>150</v>
      </c>
      <c r="C24" s="6">
        <v>6650.32</v>
      </c>
      <c r="D24" s="6">
        <v>2650.66</v>
      </c>
      <c r="E24" s="6">
        <v>1312</v>
      </c>
      <c r="F24" s="6">
        <v>8000</v>
      </c>
      <c r="G24" s="6">
        <v>3700</v>
      </c>
    </row>
    <row r="25" spans="1:7" ht="15.75" x14ac:dyDescent="0.25">
      <c r="A25" s="3">
        <v>510800</v>
      </c>
      <c r="B25" s="4" t="s">
        <v>151</v>
      </c>
      <c r="C25" s="6">
        <v>10131.969999999999</v>
      </c>
      <c r="D25" s="6">
        <v>11229.22</v>
      </c>
      <c r="E25" s="6">
        <v>8424</v>
      </c>
      <c r="F25" s="6">
        <v>10000</v>
      </c>
      <c r="G25" s="6">
        <v>12000</v>
      </c>
    </row>
    <row r="26" spans="1:7" ht="15.75" x14ac:dyDescent="0.25">
      <c r="A26" s="3">
        <v>510900</v>
      </c>
      <c r="B26" s="4" t="s">
        <v>152</v>
      </c>
      <c r="C26" s="6">
        <v>1297.56</v>
      </c>
      <c r="D26" s="6">
        <v>4334.96</v>
      </c>
      <c r="E26" s="6">
        <v>4763</v>
      </c>
      <c r="F26" s="6">
        <v>4500</v>
      </c>
      <c r="G26" s="6">
        <v>2500</v>
      </c>
    </row>
    <row r="27" spans="1:7" ht="15.75" x14ac:dyDescent="0.25">
      <c r="A27" s="3">
        <v>511000</v>
      </c>
      <c r="B27" s="4" t="s">
        <v>153</v>
      </c>
      <c r="C27" s="6">
        <v>0</v>
      </c>
      <c r="D27" s="6">
        <v>34.65</v>
      </c>
      <c r="E27" s="6">
        <v>0</v>
      </c>
      <c r="F27" s="6">
        <v>500</v>
      </c>
      <c r="G27" s="6">
        <v>1000</v>
      </c>
    </row>
    <row r="28" spans="1:7" ht="15.75" x14ac:dyDescent="0.25">
      <c r="A28" s="3">
        <v>511100</v>
      </c>
      <c r="B28" s="4" t="s">
        <v>155</v>
      </c>
      <c r="C28" s="6">
        <v>5429.88</v>
      </c>
      <c r="D28" s="6">
        <v>9270.2199999999993</v>
      </c>
      <c r="E28" s="6">
        <v>10625</v>
      </c>
      <c r="F28" s="6">
        <v>8000</v>
      </c>
      <c r="G28" s="6">
        <v>12000</v>
      </c>
    </row>
    <row r="29" spans="1:7" ht="15.75" x14ac:dyDescent="0.25">
      <c r="A29" s="3">
        <v>511200</v>
      </c>
      <c r="B29" s="4" t="s">
        <v>157</v>
      </c>
      <c r="C29" s="6">
        <v>3505.71</v>
      </c>
      <c r="D29" s="6">
        <v>3609.1</v>
      </c>
      <c r="E29" s="6">
        <v>3885</v>
      </c>
      <c r="F29" s="6">
        <v>4000</v>
      </c>
      <c r="G29" s="6">
        <v>4500</v>
      </c>
    </row>
    <row r="30" spans="1:7" ht="15.75" x14ac:dyDescent="0.25">
      <c r="A30" s="3">
        <v>511250</v>
      </c>
      <c r="B30" s="4" t="s">
        <v>158</v>
      </c>
      <c r="C30" s="6">
        <v>82.59</v>
      </c>
      <c r="D30" s="6">
        <v>88.47</v>
      </c>
      <c r="E30" s="6">
        <v>75</v>
      </c>
      <c r="F30" s="6">
        <v>100</v>
      </c>
      <c r="G30" s="6">
        <v>100</v>
      </c>
    </row>
    <row r="31" spans="1:7" ht="15.75" x14ac:dyDescent="0.25">
      <c r="A31" s="3">
        <v>511300</v>
      </c>
      <c r="B31" s="4" t="s">
        <v>159</v>
      </c>
      <c r="C31" s="6">
        <v>83.72</v>
      </c>
      <c r="D31" s="6">
        <v>131.24</v>
      </c>
      <c r="E31" s="6">
        <v>124</v>
      </c>
      <c r="F31" s="6">
        <v>150</v>
      </c>
      <c r="G31" s="6">
        <v>150</v>
      </c>
    </row>
    <row r="32" spans="1:7" ht="15.75" x14ac:dyDescent="0.25">
      <c r="A32" s="3">
        <v>511350</v>
      </c>
      <c r="B32" s="4" t="s">
        <v>160</v>
      </c>
      <c r="C32" s="6">
        <v>256.44</v>
      </c>
      <c r="D32" s="6">
        <v>240.34</v>
      </c>
      <c r="E32" s="6">
        <v>261</v>
      </c>
      <c r="F32" s="6">
        <v>225</v>
      </c>
      <c r="G32" s="6">
        <v>250</v>
      </c>
    </row>
    <row r="33" spans="1:7" ht="15.75" x14ac:dyDescent="0.25">
      <c r="A33" s="3">
        <v>511400</v>
      </c>
      <c r="B33" s="4" t="s">
        <v>194</v>
      </c>
      <c r="C33" s="6">
        <v>20938.66</v>
      </c>
      <c r="D33" s="6">
        <v>25646.59</v>
      </c>
      <c r="E33" s="6">
        <v>212</v>
      </c>
      <c r="F33" s="6">
        <v>25000</v>
      </c>
      <c r="G33" s="6">
        <v>10000</v>
      </c>
    </row>
    <row r="34" spans="1:7" ht="15.75" x14ac:dyDescent="0.25">
      <c r="A34" s="3">
        <v>511450</v>
      </c>
      <c r="B34" s="4" t="s">
        <v>195</v>
      </c>
      <c r="C34" s="6">
        <v>12111.62</v>
      </c>
      <c r="D34" s="6">
        <v>12542.58</v>
      </c>
      <c r="E34" s="6">
        <v>13145</v>
      </c>
      <c r="F34" s="6">
        <v>13000</v>
      </c>
      <c r="G34" s="6">
        <v>13500</v>
      </c>
    </row>
    <row r="35" spans="1:7" ht="15.75" x14ac:dyDescent="0.25">
      <c r="A35" s="3">
        <v>511550</v>
      </c>
      <c r="B35" s="4" t="s">
        <v>256</v>
      </c>
      <c r="C35" s="6">
        <v>28158.1</v>
      </c>
      <c r="D35" s="6">
        <v>26825.43</v>
      </c>
      <c r="E35" s="6">
        <v>17004</v>
      </c>
      <c r="F35" s="6">
        <v>30000</v>
      </c>
      <c r="G35" s="6">
        <v>30000</v>
      </c>
    </row>
    <row r="36" spans="1:7" ht="15.75" x14ac:dyDescent="0.25">
      <c r="A36" s="3">
        <v>511600</v>
      </c>
      <c r="B36" s="4" t="s">
        <v>257</v>
      </c>
      <c r="C36" s="6">
        <v>0</v>
      </c>
      <c r="D36" s="6">
        <v>0</v>
      </c>
      <c r="E36" s="6">
        <v>44</v>
      </c>
      <c r="F36" s="6">
        <v>200</v>
      </c>
      <c r="G36" s="6">
        <v>150</v>
      </c>
    </row>
    <row r="37" spans="1:7" ht="15.75" x14ac:dyDescent="0.25">
      <c r="A37" s="3">
        <v>519000</v>
      </c>
      <c r="B37" s="4" t="s">
        <v>125</v>
      </c>
      <c r="C37" s="6">
        <v>249.73</v>
      </c>
      <c r="D37" s="6">
        <v>1529.6</v>
      </c>
      <c r="E37" s="6">
        <v>2210</v>
      </c>
      <c r="F37" s="6">
        <v>1500</v>
      </c>
      <c r="G37" s="6">
        <v>3000</v>
      </c>
    </row>
    <row r="38" spans="1:7" ht="15.75" x14ac:dyDescent="0.25">
      <c r="A38" s="3">
        <v>560000</v>
      </c>
      <c r="B38" s="4" t="s">
        <v>235</v>
      </c>
      <c r="C38" s="6">
        <v>830</v>
      </c>
      <c r="D38" s="6">
        <v>2931.5</v>
      </c>
      <c r="E38" s="6">
        <v>2258</v>
      </c>
      <c r="F38" s="6">
        <v>4000</v>
      </c>
      <c r="G38" s="6">
        <v>2500</v>
      </c>
    </row>
    <row r="39" spans="1:7" ht="15.75" x14ac:dyDescent="0.25">
      <c r="A39" s="3">
        <v>563000</v>
      </c>
      <c r="B39" s="4" t="s">
        <v>258</v>
      </c>
      <c r="C39" s="6">
        <v>0</v>
      </c>
      <c r="D39" s="6">
        <v>0</v>
      </c>
      <c r="E39" s="6">
        <v>0</v>
      </c>
      <c r="F39" s="6">
        <v>2500</v>
      </c>
      <c r="G39" s="6">
        <v>0</v>
      </c>
    </row>
    <row r="40" spans="1:7" ht="15.75" x14ac:dyDescent="0.25">
      <c r="A40" s="3">
        <v>563050</v>
      </c>
      <c r="B40" s="4" t="s">
        <v>259</v>
      </c>
      <c r="C40" s="6">
        <v>3970.15</v>
      </c>
      <c r="D40" s="6">
        <v>1420.15</v>
      </c>
      <c r="E40" s="6">
        <v>0</v>
      </c>
      <c r="F40" s="6">
        <v>5000</v>
      </c>
      <c r="G40" s="6">
        <v>2000</v>
      </c>
    </row>
    <row r="41" spans="1:7" ht="15.75" x14ac:dyDescent="0.25">
      <c r="A41" s="3">
        <v>563100</v>
      </c>
      <c r="B41" s="4" t="s">
        <v>260</v>
      </c>
      <c r="C41" s="6">
        <v>9.52</v>
      </c>
      <c r="D41" s="6">
        <v>32.26</v>
      </c>
      <c r="E41" s="6">
        <v>862</v>
      </c>
      <c r="F41" s="6">
        <v>2500</v>
      </c>
      <c r="G41" s="6">
        <v>0</v>
      </c>
    </row>
    <row r="42" spans="1:7" ht="15.75" x14ac:dyDescent="0.25">
      <c r="A42" s="3">
        <v>563125</v>
      </c>
      <c r="B42" s="4" t="s">
        <v>261</v>
      </c>
      <c r="C42" s="6">
        <v>8552.65</v>
      </c>
      <c r="D42" s="6">
        <v>8773.7099999999991</v>
      </c>
      <c r="E42" s="6">
        <v>848</v>
      </c>
      <c r="F42" s="6">
        <v>12000</v>
      </c>
      <c r="G42" s="6">
        <v>12500</v>
      </c>
    </row>
    <row r="43" spans="1:7" ht="15.75" x14ac:dyDescent="0.25">
      <c r="A43" s="3">
        <v>563150</v>
      </c>
      <c r="B43" s="4" t="s">
        <v>262</v>
      </c>
      <c r="C43" s="6">
        <v>2207.73</v>
      </c>
      <c r="D43" s="6">
        <v>3803.24</v>
      </c>
      <c r="E43" s="6">
        <v>4307</v>
      </c>
      <c r="F43" s="6">
        <v>6000</v>
      </c>
      <c r="G43" s="6">
        <v>5000</v>
      </c>
    </row>
    <row r="44" spans="1:7" ht="15.75" x14ac:dyDescent="0.25">
      <c r="A44" s="3">
        <v>563175</v>
      </c>
      <c r="B44" s="4" t="s">
        <v>263</v>
      </c>
      <c r="C44" s="6">
        <v>0</v>
      </c>
      <c r="D44" s="6">
        <v>0</v>
      </c>
      <c r="E44" s="6">
        <v>0</v>
      </c>
      <c r="F44" s="6">
        <v>1000</v>
      </c>
      <c r="G44" s="6">
        <v>1000</v>
      </c>
    </row>
    <row r="45" spans="1:7" ht="15.75" x14ac:dyDescent="0.25">
      <c r="A45" s="3">
        <v>563225</v>
      </c>
      <c r="B45" s="4" t="s">
        <v>264</v>
      </c>
      <c r="C45" s="6">
        <v>252.36</v>
      </c>
      <c r="D45" s="6">
        <v>296.08999999999997</v>
      </c>
      <c r="E45" s="6">
        <v>404</v>
      </c>
      <c r="F45" s="6">
        <v>500</v>
      </c>
      <c r="G45" s="6">
        <v>3100</v>
      </c>
    </row>
    <row r="46" spans="1:7" ht="15.75" x14ac:dyDescent="0.25">
      <c r="A46" s="3">
        <v>570200</v>
      </c>
      <c r="B46" s="4" t="s">
        <v>200</v>
      </c>
      <c r="C46" s="6">
        <v>1783.96</v>
      </c>
      <c r="D46" s="6">
        <v>1575.59</v>
      </c>
      <c r="E46" s="6">
        <v>1696</v>
      </c>
      <c r="F46" s="6">
        <v>3000</v>
      </c>
      <c r="G46" s="6">
        <v>1800</v>
      </c>
    </row>
    <row r="47" spans="1:7" ht="16.5" thickBot="1" x14ac:dyDescent="0.3">
      <c r="A47" s="3">
        <v>595200</v>
      </c>
      <c r="B47" s="4" t="s">
        <v>243</v>
      </c>
      <c r="C47" s="6">
        <v>9176.93</v>
      </c>
      <c r="D47" s="6">
        <v>11795.28</v>
      </c>
      <c r="E47" s="6">
        <v>15914</v>
      </c>
      <c r="F47" s="6">
        <v>50000</v>
      </c>
      <c r="G47" s="6">
        <v>50000</v>
      </c>
    </row>
    <row r="48" spans="1:7" ht="16.5" thickBot="1" x14ac:dyDescent="0.3">
      <c r="A48" s="7" t="s">
        <v>11</v>
      </c>
      <c r="B48" s="8"/>
      <c r="C48" s="30">
        <f>SUM(C17:C47)</f>
        <v>128886.09</v>
      </c>
      <c r="D48" s="30">
        <f>SUM(D17:D47)</f>
        <v>148001.76999999999</v>
      </c>
      <c r="E48" s="30">
        <f>SUM(E17:E47)</f>
        <v>104241</v>
      </c>
      <c r="F48" s="30">
        <f>SUM(F17:F47)</f>
        <v>209675</v>
      </c>
      <c r="G48" s="30">
        <f>SUM(G17:G47)</f>
        <v>197250</v>
      </c>
    </row>
    <row r="49" spans="1:7" ht="15.75" thickBot="1" x14ac:dyDescent="0.25"/>
    <row r="50" spans="1:7" ht="16.5" thickBot="1" x14ac:dyDescent="0.3">
      <c r="A50" s="9" t="s">
        <v>48</v>
      </c>
      <c r="B50" s="10"/>
      <c r="C50" s="10"/>
      <c r="D50" s="10"/>
      <c r="E50" s="10"/>
      <c r="F50" s="10"/>
      <c r="G50" s="10"/>
    </row>
    <row r="51" spans="1:7" ht="15" customHeight="1" x14ac:dyDescent="0.2">
      <c r="A51" s="150"/>
      <c r="B51" s="152" t="s">
        <v>12</v>
      </c>
      <c r="C51" s="152" t="s">
        <v>6</v>
      </c>
      <c r="D51" s="152" t="s">
        <v>5</v>
      </c>
      <c r="E51" s="152" t="str">
        <f>E4</f>
        <v>FY 2024 
Actuals</v>
      </c>
      <c r="F51" s="152" t="str">
        <f>F4</f>
        <v>FY 2025 
Adopted Budget</v>
      </c>
      <c r="G51" s="152" t="str">
        <f>G4</f>
        <v>FY 2026 
Proposed Budget</v>
      </c>
    </row>
    <row r="52" spans="1:7" ht="31.5" customHeight="1" thickBot="1" x14ac:dyDescent="0.25">
      <c r="A52" s="151"/>
      <c r="B52" s="153"/>
      <c r="C52" s="153"/>
      <c r="D52" s="153" t="s">
        <v>5</v>
      </c>
      <c r="E52" s="153" t="s">
        <v>4</v>
      </c>
      <c r="F52" s="153" t="s">
        <v>3</v>
      </c>
      <c r="G52" s="153" t="s">
        <v>3</v>
      </c>
    </row>
    <row r="53" spans="1:7" ht="15.75" x14ac:dyDescent="0.25">
      <c r="A53" s="3"/>
      <c r="B53" s="4" t="s">
        <v>13</v>
      </c>
      <c r="C53" s="47">
        <f>C13</f>
        <v>275755.51</v>
      </c>
      <c r="D53" s="47">
        <f>D13</f>
        <v>280904.71000000002</v>
      </c>
      <c r="E53" s="47">
        <f>E13</f>
        <v>289082</v>
      </c>
      <c r="F53" s="47">
        <f>F13</f>
        <v>314421</v>
      </c>
      <c r="G53" s="47">
        <f>G13</f>
        <v>519407.07999999996</v>
      </c>
    </row>
    <row r="54" spans="1:7" ht="15.75" x14ac:dyDescent="0.25">
      <c r="A54" s="3"/>
      <c r="B54" s="4" t="s">
        <v>14</v>
      </c>
      <c r="C54" s="6">
        <f>C48</f>
        <v>128886.09</v>
      </c>
      <c r="D54" s="6">
        <f>D48</f>
        <v>148001.76999999999</v>
      </c>
      <c r="E54" s="6">
        <f>E48</f>
        <v>104241</v>
      </c>
      <c r="F54" s="6">
        <f>F48</f>
        <v>209675</v>
      </c>
      <c r="G54" s="6">
        <f>G48</f>
        <v>197250</v>
      </c>
    </row>
    <row r="55" spans="1:7" ht="16.5" thickBot="1" x14ac:dyDescent="0.3">
      <c r="A55" s="3"/>
      <c r="B55" s="4" t="s">
        <v>15</v>
      </c>
      <c r="C55" s="6">
        <v>9533.34</v>
      </c>
      <c r="D55" s="6">
        <v>0</v>
      </c>
      <c r="E55" s="6">
        <v>6569</v>
      </c>
      <c r="F55" s="6">
        <v>125000</v>
      </c>
      <c r="G55" s="6">
        <v>0</v>
      </c>
    </row>
    <row r="56" spans="1:7" ht="15.75" x14ac:dyDescent="0.25">
      <c r="A56" s="11" t="s">
        <v>16</v>
      </c>
      <c r="B56" s="12"/>
      <c r="C56" s="31">
        <f>SUM(C53:C55)</f>
        <v>414174.94</v>
      </c>
      <c r="D56" s="31">
        <f>SUM(D53:D55)</f>
        <v>428906.48</v>
      </c>
      <c r="E56" s="31">
        <f>SUM(E53:E55)</f>
        <v>399892</v>
      </c>
      <c r="F56" s="31">
        <f>SUM(F53:F55)</f>
        <v>649096</v>
      </c>
      <c r="G56" s="31">
        <f>SUM(G53:G55)</f>
        <v>716657.08</v>
      </c>
    </row>
    <row r="58" spans="1:7" x14ac:dyDescent="0.2">
      <c r="A58" s="89" t="s">
        <v>394</v>
      </c>
    </row>
    <row r="59" spans="1:7" x14ac:dyDescent="0.2">
      <c r="A59" s="2" t="s">
        <v>398</v>
      </c>
    </row>
    <row r="60" spans="1:7" x14ac:dyDescent="0.2">
      <c r="A60" s="2" t="s">
        <v>399</v>
      </c>
    </row>
  </sheetData>
  <mergeCells count="9">
    <mergeCell ref="G51:G52"/>
    <mergeCell ref="A1:G1"/>
    <mergeCell ref="A2:F2"/>
    <mergeCell ref="A51:A52"/>
    <mergeCell ref="B51:B52"/>
    <mergeCell ref="C51:C52"/>
    <mergeCell ref="D51:D52"/>
    <mergeCell ref="E51:E52"/>
    <mergeCell ref="F51:F52"/>
  </mergeCells>
  <pageMargins left="0.45" right="0.45" top="0.75" bottom="0.75" header="0.3" footer="0.3"/>
  <pageSetup scale="64" fitToHeight="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4FE9-8653-467C-8405-886DC90F2017}">
  <sheetPr>
    <pageSetUpPr fitToPage="1"/>
  </sheetPr>
  <dimension ref="A1:L76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53.28515625" style="2" bestFit="1" customWidth="1"/>
    <col min="3" max="3" width="27.5703125" style="2" customWidth="1"/>
    <col min="4" max="7" width="21" style="2" customWidth="1"/>
    <col min="8" max="8" width="14.5703125" style="2" bestFit="1" customWidth="1"/>
    <col min="9" max="9" width="9.7109375" style="2" customWidth="1"/>
    <col min="10" max="10" width="13.140625" style="2" bestFit="1" customWidth="1"/>
    <col min="11" max="11" width="14.28515625" style="2" bestFit="1" customWidth="1"/>
    <col min="12" max="16384" width="9.140625" style="2"/>
  </cols>
  <sheetData>
    <row r="1" spans="1:12" ht="34.5" x14ac:dyDescent="0.45">
      <c r="A1" s="144" t="s">
        <v>346</v>
      </c>
      <c r="B1" s="144"/>
      <c r="C1" s="144"/>
      <c r="D1" s="144"/>
      <c r="E1" s="144"/>
      <c r="F1" s="144"/>
      <c r="G1" s="144"/>
    </row>
    <row r="2" spans="1:12" x14ac:dyDescent="0.2">
      <c r="A2" s="145"/>
      <c r="B2" s="145"/>
      <c r="C2" s="145"/>
      <c r="D2" s="145"/>
      <c r="E2" s="145"/>
      <c r="F2" s="145"/>
    </row>
    <row r="3" spans="1:12" ht="15.75" thickBot="1" x14ac:dyDescent="0.25">
      <c r="A3" s="1" t="s">
        <v>51</v>
      </c>
      <c r="B3" s="1"/>
      <c r="C3" s="1"/>
      <c r="D3" s="1"/>
      <c r="E3" s="1"/>
      <c r="F3" s="1"/>
      <c r="G3" s="1"/>
    </row>
    <row r="4" spans="1:12" ht="31.5" x14ac:dyDescent="0.2">
      <c r="A4" s="5" t="s">
        <v>1</v>
      </c>
      <c r="B4" s="5" t="s">
        <v>2</v>
      </c>
      <c r="C4" s="5" t="s">
        <v>6</v>
      </c>
      <c r="D4" s="5" t="s">
        <v>5</v>
      </c>
      <c r="E4" s="5" t="s">
        <v>350</v>
      </c>
      <c r="F4" s="5" t="s">
        <v>349</v>
      </c>
      <c r="G4" s="5" t="s">
        <v>357</v>
      </c>
    </row>
    <row r="5" spans="1:12" ht="15.75" x14ac:dyDescent="0.25">
      <c r="A5" s="3">
        <v>412100</v>
      </c>
      <c r="B5" s="4" t="s">
        <v>265</v>
      </c>
      <c r="C5" s="36">
        <v>13265</v>
      </c>
      <c r="D5" s="36">
        <v>13265</v>
      </c>
      <c r="E5" s="36">
        <v>15265</v>
      </c>
      <c r="F5" s="36">
        <v>14000</v>
      </c>
      <c r="G5" s="36">
        <v>12000</v>
      </c>
    </row>
    <row r="6" spans="1:12" ht="15.75" x14ac:dyDescent="0.25">
      <c r="A6" s="3">
        <v>413300</v>
      </c>
      <c r="B6" s="4" t="s">
        <v>68</v>
      </c>
      <c r="C6" s="6">
        <v>1206.28</v>
      </c>
      <c r="D6" s="6">
        <v>10243</v>
      </c>
      <c r="E6" s="6">
        <v>21623</v>
      </c>
      <c r="F6" s="6">
        <v>3000</v>
      </c>
      <c r="G6" s="6">
        <v>23000</v>
      </c>
    </row>
    <row r="7" spans="1:12" ht="15.75" x14ac:dyDescent="0.25">
      <c r="A7" s="3">
        <v>413700</v>
      </c>
      <c r="B7" s="4" t="s">
        <v>266</v>
      </c>
      <c r="C7" s="6">
        <v>8201.58</v>
      </c>
      <c r="D7" s="6">
        <v>7462.34</v>
      </c>
      <c r="E7" s="6">
        <v>3182</v>
      </c>
      <c r="F7" s="6">
        <v>10000</v>
      </c>
      <c r="G7" s="6">
        <v>11000</v>
      </c>
    </row>
    <row r="8" spans="1:12" ht="15.75" x14ac:dyDescent="0.25">
      <c r="A8" s="3">
        <v>413900</v>
      </c>
      <c r="B8" s="4" t="s">
        <v>70</v>
      </c>
      <c r="C8" s="6">
        <v>0</v>
      </c>
      <c r="D8" s="6">
        <v>503</v>
      </c>
      <c r="E8" s="6">
        <v>350</v>
      </c>
      <c r="F8" s="6">
        <v>0</v>
      </c>
      <c r="G8" s="6">
        <v>0</v>
      </c>
    </row>
    <row r="9" spans="1:12" ht="15.75" x14ac:dyDescent="0.25">
      <c r="A9" s="3">
        <v>420000</v>
      </c>
      <c r="B9" s="4" t="s">
        <v>347</v>
      </c>
      <c r="C9" s="6">
        <v>6788981.0199999996</v>
      </c>
      <c r="D9" s="6">
        <v>6732703.29</v>
      </c>
      <c r="E9" s="6">
        <v>6484953</v>
      </c>
      <c r="F9" s="6">
        <v>6800000</v>
      </c>
      <c r="G9" s="6">
        <f>(9282389+13164-51736)*0.8752</f>
        <v>8090188.6383999996</v>
      </c>
      <c r="H9" s="37">
        <f>G9-F9</f>
        <v>1290188.6383999996</v>
      </c>
      <c r="I9" s="95"/>
      <c r="J9" s="37"/>
      <c r="K9" s="37"/>
      <c r="L9" s="95"/>
    </row>
    <row r="10" spans="1:12" ht="15.75" x14ac:dyDescent="0.25">
      <c r="A10" s="3">
        <v>420200</v>
      </c>
      <c r="B10" s="4" t="s">
        <v>87</v>
      </c>
      <c r="C10" s="6">
        <v>68579.58</v>
      </c>
      <c r="D10" s="6">
        <v>79389.95</v>
      </c>
      <c r="E10" s="6">
        <v>100474</v>
      </c>
      <c r="F10" s="6">
        <v>80000</v>
      </c>
      <c r="G10" s="6">
        <v>90000</v>
      </c>
    </row>
    <row r="11" spans="1:12" ht="15.75" x14ac:dyDescent="0.25">
      <c r="A11" s="3">
        <v>420250</v>
      </c>
      <c r="B11" s="4" t="s">
        <v>228</v>
      </c>
      <c r="C11" s="6">
        <v>9600</v>
      </c>
      <c r="D11" s="6">
        <v>7265</v>
      </c>
      <c r="E11" s="6">
        <v>5305</v>
      </c>
      <c r="F11" s="6">
        <v>7000</v>
      </c>
      <c r="G11" s="6">
        <v>2000</v>
      </c>
    </row>
    <row r="12" spans="1:12" ht="15.75" x14ac:dyDescent="0.25">
      <c r="A12" s="3">
        <v>420600</v>
      </c>
      <c r="B12" s="4" t="s">
        <v>267</v>
      </c>
      <c r="C12" s="6">
        <v>477687.9</v>
      </c>
      <c r="D12" s="6">
        <v>219907.67</v>
      </c>
      <c r="E12" s="6">
        <f>-232</f>
        <v>-232</v>
      </c>
      <c r="F12" s="6">
        <v>350000</v>
      </c>
      <c r="G12" s="6">
        <v>475000</v>
      </c>
    </row>
    <row r="13" spans="1:12" ht="16.5" thickBot="1" x14ac:dyDescent="0.3">
      <c r="A13" s="3">
        <v>430000</v>
      </c>
      <c r="B13" s="4" t="s">
        <v>91</v>
      </c>
      <c r="C13" s="6">
        <v>285</v>
      </c>
      <c r="D13" s="6">
        <v>201.37</v>
      </c>
      <c r="E13" s="6">
        <v>248</v>
      </c>
      <c r="F13" s="6">
        <v>0</v>
      </c>
      <c r="G13" s="6">
        <v>1153628</v>
      </c>
      <c r="H13" s="116" t="s">
        <v>436</v>
      </c>
      <c r="I13" s="116"/>
      <c r="J13" s="116"/>
    </row>
    <row r="14" spans="1:12" ht="16.5" thickBot="1" x14ac:dyDescent="0.3">
      <c r="A14" s="7" t="s">
        <v>11</v>
      </c>
      <c r="B14" s="8"/>
      <c r="C14" s="30">
        <f>SUM(C5:C13)</f>
        <v>7367806.3600000003</v>
      </c>
      <c r="D14" s="30">
        <f>SUM(D5:D13)</f>
        <v>7070940.6200000001</v>
      </c>
      <c r="E14" s="30">
        <f>SUM(E5:E13)</f>
        <v>6631168</v>
      </c>
      <c r="F14" s="30">
        <f>SUM(F5:F13)</f>
        <v>7264000</v>
      </c>
      <c r="G14" s="30">
        <f>SUM(G5:G13)</f>
        <v>9856816.6383999996</v>
      </c>
      <c r="K14" s="37" t="s">
        <v>215</v>
      </c>
    </row>
    <row r="15" spans="1:12" ht="15.75" x14ac:dyDescent="0.25">
      <c r="A15" s="92"/>
      <c r="B15" s="93"/>
      <c r="C15" s="94"/>
      <c r="D15" s="94"/>
      <c r="E15" s="94"/>
      <c r="F15" s="94"/>
      <c r="G15" s="94"/>
      <c r="K15" s="37"/>
    </row>
    <row r="16" spans="1:12" ht="15.75" x14ac:dyDescent="0.25">
      <c r="A16" s="92"/>
      <c r="B16" s="93"/>
      <c r="C16" s="94"/>
      <c r="D16" s="94"/>
      <c r="E16" s="94"/>
      <c r="F16" s="94"/>
      <c r="G16" s="94">
        <f>G14-'Electric Dep'!G72</f>
        <v>-0.46160000003874302</v>
      </c>
      <c r="K16" s="37"/>
    </row>
    <row r="17" spans="1:11" ht="15.75" x14ac:dyDescent="0.25">
      <c r="A17" s="92"/>
      <c r="B17" s="93"/>
      <c r="C17" s="94"/>
      <c r="D17" s="94"/>
      <c r="E17" s="94"/>
      <c r="F17" s="94"/>
      <c r="G17" s="94"/>
      <c r="K17" s="37"/>
    </row>
    <row r="18" spans="1:11" ht="18" x14ac:dyDescent="0.25">
      <c r="A18" s="92"/>
      <c r="B18" s="93"/>
      <c r="C18" s="168" t="s">
        <v>387</v>
      </c>
      <c r="D18" s="168"/>
      <c r="E18" s="94"/>
      <c r="F18" s="94"/>
      <c r="G18" s="94"/>
      <c r="K18" s="37"/>
    </row>
    <row r="19" spans="1:11" ht="15.75" x14ac:dyDescent="0.25">
      <c r="A19" s="92"/>
      <c r="B19" s="93"/>
      <c r="C19" s="94"/>
      <c r="D19" s="94"/>
      <c r="E19" s="94"/>
      <c r="F19" s="94"/>
      <c r="G19" s="94"/>
      <c r="K19" s="37"/>
    </row>
    <row r="20" spans="1:11" ht="15.75" x14ac:dyDescent="0.25">
      <c r="A20" s="92"/>
      <c r="B20" s="93"/>
      <c r="C20" s="2" t="s">
        <v>359</v>
      </c>
      <c r="D20" s="102">
        <v>2407</v>
      </c>
      <c r="E20" s="94"/>
      <c r="F20" s="94"/>
      <c r="G20" s="94"/>
      <c r="K20" s="37"/>
    </row>
    <row r="21" spans="1:11" ht="30" x14ac:dyDescent="0.2">
      <c r="C21" s="98" t="s">
        <v>362</v>
      </c>
      <c r="D21" s="100">
        <f>H9</f>
        <v>1290188.6383999996</v>
      </c>
      <c r="K21" s="39" t="s">
        <v>215</v>
      </c>
    </row>
    <row r="22" spans="1:11" x14ac:dyDescent="0.2">
      <c r="D22" s="100"/>
    </row>
    <row r="23" spans="1:11" ht="29.25" customHeight="1" x14ac:dyDescent="0.2">
      <c r="C23" s="97" t="s">
        <v>360</v>
      </c>
      <c r="D23" s="100">
        <f>-4*12*D20</f>
        <v>-115536</v>
      </c>
    </row>
    <row r="24" spans="1:11" x14ac:dyDescent="0.2">
      <c r="D24" s="100"/>
    </row>
    <row r="25" spans="1:11" ht="15.75" thickBot="1" x14ac:dyDescent="0.25">
      <c r="C25" s="2" t="s">
        <v>361</v>
      </c>
      <c r="D25" s="101">
        <f>D21+D23</f>
        <v>1174652.6383999996</v>
      </c>
    </row>
    <row r="26" spans="1:11" ht="15.75" thickTop="1" x14ac:dyDescent="0.2">
      <c r="D26" s="37"/>
    </row>
    <row r="27" spans="1:11" ht="30.75" x14ac:dyDescent="0.25">
      <c r="A27"/>
      <c r="B27" t="s">
        <v>215</v>
      </c>
      <c r="C27" s="96" t="s">
        <v>363</v>
      </c>
      <c r="D27" s="99">
        <v>0.12411</v>
      </c>
      <c r="E27"/>
      <c r="F27"/>
    </row>
    <row r="28" spans="1:11" ht="15.75" x14ac:dyDescent="0.25">
      <c r="A28"/>
      <c r="B28" t="s">
        <v>215</v>
      </c>
      <c r="C28" s="49"/>
      <c r="D28"/>
      <c r="E28"/>
      <c r="F28"/>
    </row>
    <row r="29" spans="1:11" ht="30.75" x14ac:dyDescent="0.25">
      <c r="A29"/>
      <c r="B29"/>
      <c r="C29" s="109" t="s">
        <v>410</v>
      </c>
      <c r="D29" s="112">
        <f>D25/F9*D27</f>
        <v>2.1439138081150579E-2</v>
      </c>
      <c r="E29"/>
      <c r="F29"/>
    </row>
    <row r="30" spans="1:11" ht="15.75" x14ac:dyDescent="0.25">
      <c r="A30"/>
      <c r="B30"/>
      <c r="C30"/>
      <c r="D30"/>
      <c r="E30"/>
      <c r="F30"/>
    </row>
    <row r="31" spans="1:11" ht="30.75" x14ac:dyDescent="0.25">
      <c r="A31"/>
      <c r="B31"/>
      <c r="C31" s="96" t="s">
        <v>364</v>
      </c>
      <c r="D31" s="113">
        <f>D27+D29</f>
        <v>0.14554913808115058</v>
      </c>
      <c r="E31"/>
      <c r="F31"/>
    </row>
    <row r="32" spans="1:11" ht="15.75" x14ac:dyDescent="0.25">
      <c r="A32"/>
      <c r="B32"/>
      <c r="C32"/>
      <c r="D32"/>
      <c r="E32"/>
      <c r="F32"/>
    </row>
    <row r="33" spans="1:6" ht="15.75" x14ac:dyDescent="0.25">
      <c r="A33"/>
      <c r="B33"/>
      <c r="C33"/>
      <c r="D33"/>
      <c r="E33"/>
      <c r="F33"/>
    </row>
    <row r="34" spans="1:6" ht="31.5" thickBot="1" x14ac:dyDescent="0.3">
      <c r="A34"/>
      <c r="B34"/>
      <c r="C34" s="97" t="s">
        <v>389</v>
      </c>
      <c r="D34" s="108">
        <f>D29*1000</f>
        <v>21.439138081150578</v>
      </c>
      <c r="E34"/>
      <c r="F34"/>
    </row>
    <row r="35" spans="1:6" ht="16.5" thickTop="1" x14ac:dyDescent="0.25">
      <c r="A35"/>
      <c r="B35"/>
      <c r="C35"/>
      <c r="D35"/>
      <c r="E35"/>
      <c r="F35"/>
    </row>
    <row r="36" spans="1:6" ht="15.75" x14ac:dyDescent="0.25">
      <c r="A36"/>
      <c r="B36"/>
      <c r="C36"/>
      <c r="D36"/>
      <c r="E36"/>
      <c r="F36"/>
    </row>
    <row r="37" spans="1:6" ht="15.75" x14ac:dyDescent="0.25">
      <c r="A37"/>
      <c r="B37"/>
      <c r="C37"/>
      <c r="D37"/>
      <c r="E37"/>
      <c r="F37"/>
    </row>
    <row r="38" spans="1:6" ht="15.75" x14ac:dyDescent="0.25">
      <c r="A38"/>
      <c r="B38"/>
      <c r="C38"/>
      <c r="D38"/>
      <c r="E38"/>
      <c r="F38"/>
    </row>
    <row r="39" spans="1:6" ht="15.75" x14ac:dyDescent="0.25">
      <c r="A39"/>
      <c r="B39"/>
      <c r="C39"/>
      <c r="D39"/>
      <c r="E39"/>
      <c r="F39"/>
    </row>
    <row r="40" spans="1:6" ht="15.75" x14ac:dyDescent="0.25">
      <c r="A40"/>
      <c r="B40"/>
      <c r="C40"/>
      <c r="D40"/>
      <c r="E40"/>
      <c r="F40"/>
    </row>
    <row r="41" spans="1:6" ht="15.75" x14ac:dyDescent="0.25">
      <c r="A41"/>
      <c r="B41"/>
      <c r="C41"/>
      <c r="D41"/>
      <c r="E41"/>
      <c r="F41"/>
    </row>
    <row r="42" spans="1:6" ht="15" customHeight="1" x14ac:dyDescent="0.25">
      <c r="A42"/>
      <c r="B42"/>
      <c r="C42"/>
      <c r="D42"/>
      <c r="E42"/>
      <c r="F42"/>
    </row>
    <row r="43" spans="1:6" ht="15.75" customHeight="1" x14ac:dyDescent="0.25">
      <c r="A43"/>
      <c r="B43"/>
      <c r="C43"/>
      <c r="D43"/>
      <c r="E43"/>
      <c r="F43"/>
    </row>
    <row r="44" spans="1:6" ht="15.75" x14ac:dyDescent="0.25">
      <c r="A44"/>
      <c r="B44"/>
      <c r="C44"/>
      <c r="D44"/>
      <c r="E44"/>
      <c r="F44"/>
    </row>
    <row r="45" spans="1:6" ht="15.75" x14ac:dyDescent="0.25">
      <c r="A45"/>
      <c r="B45"/>
      <c r="C45"/>
      <c r="D45"/>
      <c r="E45"/>
      <c r="F45"/>
    </row>
    <row r="46" spans="1:6" ht="15.75" x14ac:dyDescent="0.25">
      <c r="A46"/>
      <c r="B46"/>
      <c r="C46"/>
      <c r="D46"/>
      <c r="E46"/>
      <c r="F46"/>
    </row>
    <row r="47" spans="1:6" ht="15.75" x14ac:dyDescent="0.25">
      <c r="A47"/>
      <c r="B47"/>
      <c r="C47"/>
      <c r="D47"/>
      <c r="E47"/>
      <c r="F47"/>
    </row>
    <row r="48" spans="1:6" ht="15.75" x14ac:dyDescent="0.25">
      <c r="A48"/>
      <c r="B48"/>
      <c r="C48"/>
      <c r="D48"/>
      <c r="E48"/>
      <c r="F48"/>
    </row>
    <row r="49" spans="1:6" ht="15.75" x14ac:dyDescent="0.25">
      <c r="A49"/>
      <c r="B49"/>
      <c r="C49"/>
      <c r="D49"/>
      <c r="E49"/>
      <c r="F49"/>
    </row>
    <row r="50" spans="1:6" ht="15.75" x14ac:dyDescent="0.25">
      <c r="A50"/>
      <c r="B50"/>
      <c r="C50"/>
      <c r="D50"/>
      <c r="E50"/>
      <c r="F50"/>
    </row>
    <row r="51" spans="1:6" ht="15.75" x14ac:dyDescent="0.25">
      <c r="A51"/>
      <c r="B51"/>
      <c r="C51"/>
      <c r="D51"/>
      <c r="E51"/>
      <c r="F51"/>
    </row>
    <row r="52" spans="1:6" ht="15.75" x14ac:dyDescent="0.25">
      <c r="A52"/>
      <c r="B52"/>
      <c r="C52"/>
      <c r="D52"/>
      <c r="E52"/>
      <c r="F52"/>
    </row>
    <row r="53" spans="1:6" ht="15.75" x14ac:dyDescent="0.25">
      <c r="A53"/>
      <c r="B53"/>
      <c r="C53"/>
      <c r="D53"/>
      <c r="E53"/>
      <c r="F53"/>
    </row>
    <row r="54" spans="1:6" ht="15.75" x14ac:dyDescent="0.25">
      <c r="A54"/>
      <c r="B54"/>
      <c r="C54"/>
      <c r="D54"/>
      <c r="E54"/>
      <c r="F54"/>
    </row>
    <row r="55" spans="1:6" ht="15.75" x14ac:dyDescent="0.25">
      <c r="A55"/>
      <c r="B55"/>
      <c r="C55"/>
      <c r="D55"/>
      <c r="E55"/>
      <c r="F55"/>
    </row>
    <row r="56" spans="1:6" ht="15.75" x14ac:dyDescent="0.25">
      <c r="A56"/>
      <c r="B56"/>
      <c r="C56"/>
      <c r="D56"/>
      <c r="E56"/>
      <c r="F56"/>
    </row>
    <row r="57" spans="1:6" ht="15.75" x14ac:dyDescent="0.25">
      <c r="A57"/>
      <c r="B57"/>
      <c r="C57"/>
      <c r="D57"/>
      <c r="E57"/>
      <c r="F57"/>
    </row>
    <row r="58" spans="1:6" ht="15.75" x14ac:dyDescent="0.25">
      <c r="A58"/>
      <c r="B58"/>
      <c r="C58"/>
      <c r="D58"/>
      <c r="E58"/>
      <c r="F58"/>
    </row>
    <row r="59" spans="1:6" ht="15.75" x14ac:dyDescent="0.25">
      <c r="A59"/>
      <c r="B59"/>
      <c r="C59"/>
      <c r="D59"/>
      <c r="E59"/>
      <c r="F59"/>
    </row>
    <row r="60" spans="1:6" ht="15.75" x14ac:dyDescent="0.25">
      <c r="A60"/>
      <c r="B60"/>
      <c r="C60"/>
      <c r="D60"/>
      <c r="E60"/>
      <c r="F60"/>
    </row>
    <row r="61" spans="1:6" ht="15.75" x14ac:dyDescent="0.25">
      <c r="A61"/>
      <c r="B61"/>
      <c r="C61"/>
      <c r="D61"/>
      <c r="E61"/>
      <c r="F61"/>
    </row>
    <row r="62" spans="1:6" ht="15.75" x14ac:dyDescent="0.25">
      <c r="A62"/>
      <c r="B62"/>
      <c r="C62"/>
      <c r="D62"/>
      <c r="E62"/>
      <c r="F62"/>
    </row>
    <row r="63" spans="1:6" ht="15.75" x14ac:dyDescent="0.25">
      <c r="A63"/>
      <c r="B63"/>
      <c r="C63"/>
      <c r="D63"/>
      <c r="E63"/>
      <c r="F63"/>
    </row>
    <row r="64" spans="1:6" ht="15.75" x14ac:dyDescent="0.25">
      <c r="A64"/>
      <c r="B64"/>
      <c r="C64"/>
      <c r="D64"/>
      <c r="E64"/>
      <c r="F64"/>
    </row>
    <row r="65" spans="1:6" ht="15.75" x14ac:dyDescent="0.25">
      <c r="A65"/>
      <c r="B65"/>
      <c r="C65"/>
      <c r="D65"/>
      <c r="E65"/>
      <c r="F65"/>
    </row>
    <row r="66" spans="1:6" ht="15.75" x14ac:dyDescent="0.25">
      <c r="A66"/>
      <c r="B66"/>
      <c r="C66"/>
      <c r="D66"/>
      <c r="E66"/>
      <c r="F66"/>
    </row>
    <row r="67" spans="1:6" ht="15.75" x14ac:dyDescent="0.25">
      <c r="A67"/>
      <c r="B67"/>
      <c r="C67"/>
      <c r="D67"/>
      <c r="E67"/>
      <c r="F67"/>
    </row>
    <row r="68" spans="1:6" ht="15.75" x14ac:dyDescent="0.25">
      <c r="A68"/>
      <c r="B68"/>
      <c r="C68"/>
      <c r="D68"/>
      <c r="E68"/>
      <c r="F68"/>
    </row>
    <row r="69" spans="1:6" ht="15.75" x14ac:dyDescent="0.25">
      <c r="A69"/>
      <c r="B69"/>
      <c r="C69"/>
      <c r="D69"/>
      <c r="E69"/>
      <c r="F69"/>
    </row>
    <row r="70" spans="1:6" ht="15.75" x14ac:dyDescent="0.25">
      <c r="A70"/>
      <c r="B70"/>
      <c r="C70"/>
      <c r="D70"/>
      <c r="E70"/>
      <c r="F70"/>
    </row>
    <row r="71" spans="1:6" ht="15.75" x14ac:dyDescent="0.25">
      <c r="A71"/>
      <c r="B71"/>
      <c r="C71"/>
      <c r="D71"/>
      <c r="E71"/>
      <c r="F71"/>
    </row>
    <row r="72" spans="1:6" ht="15.75" x14ac:dyDescent="0.25">
      <c r="A72"/>
      <c r="B72"/>
      <c r="C72"/>
      <c r="D72"/>
      <c r="E72"/>
      <c r="F72"/>
    </row>
    <row r="73" spans="1:6" ht="15.75" x14ac:dyDescent="0.25">
      <c r="A73"/>
      <c r="B73"/>
      <c r="C73"/>
      <c r="D73"/>
      <c r="E73"/>
      <c r="F73"/>
    </row>
    <row r="74" spans="1:6" ht="15.75" x14ac:dyDescent="0.25">
      <c r="A74"/>
      <c r="B74"/>
      <c r="C74"/>
      <c r="D74"/>
      <c r="E74"/>
      <c r="F74"/>
    </row>
    <row r="75" spans="1:6" ht="15.75" x14ac:dyDescent="0.25">
      <c r="A75"/>
      <c r="B75"/>
      <c r="C75"/>
      <c r="D75"/>
      <c r="E75"/>
      <c r="F75"/>
    </row>
    <row r="76" spans="1:6" ht="15.75" x14ac:dyDescent="0.25">
      <c r="A76"/>
      <c r="B76"/>
      <c r="C76"/>
      <c r="D76"/>
      <c r="E76"/>
      <c r="F76"/>
    </row>
  </sheetData>
  <mergeCells count="3">
    <mergeCell ref="A2:F2"/>
    <mergeCell ref="A1:G1"/>
    <mergeCell ref="C18:D18"/>
  </mergeCells>
  <pageMargins left="0.45" right="0.45" top="0.75" bottom="0.75" header="0.3" footer="0.3"/>
  <pageSetup scale="52" fitToHeight="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4C4E-26BE-47CB-A143-4B4869850E21}">
  <sheetPr>
    <pageSetUpPr fitToPage="1"/>
  </sheetPr>
  <dimension ref="A1:L79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46.28515625" style="2" bestFit="1" customWidth="1"/>
    <col min="3" max="7" width="21" style="2" customWidth="1"/>
    <col min="8" max="8" width="43.42578125" style="2" customWidth="1"/>
    <col min="9" max="9" width="16.28515625" style="2" bestFit="1" customWidth="1"/>
    <col min="10" max="10" width="9.7109375" style="2" bestFit="1" customWidth="1"/>
    <col min="11" max="11" width="9.140625" style="2"/>
    <col min="12" max="12" width="12.7109375" style="2" bestFit="1" customWidth="1"/>
    <col min="13" max="16384" width="9.140625" style="2"/>
  </cols>
  <sheetData>
    <row r="1" spans="1:8" ht="56.25" customHeight="1" x14ac:dyDescent="0.2">
      <c r="A1" s="170" t="s">
        <v>339</v>
      </c>
      <c r="B1" s="170"/>
      <c r="C1" s="170"/>
      <c r="D1" s="170"/>
      <c r="E1" s="170"/>
      <c r="F1" s="170"/>
      <c r="G1" s="170"/>
    </row>
    <row r="2" spans="1:8" ht="15.75" thickBot="1" x14ac:dyDescent="0.25">
      <c r="A2" s="1" t="s">
        <v>9</v>
      </c>
      <c r="B2" s="1"/>
      <c r="C2" s="1"/>
      <c r="D2" s="1"/>
      <c r="E2" s="1"/>
      <c r="F2" s="1"/>
      <c r="G2" s="1"/>
    </row>
    <row r="3" spans="1:8" ht="31.5" x14ac:dyDescent="0.2">
      <c r="A3" s="5" t="s">
        <v>1</v>
      </c>
      <c r="B3" s="5" t="s">
        <v>2</v>
      </c>
      <c r="C3" s="5" t="s">
        <v>6</v>
      </c>
      <c r="D3" s="5" t="s">
        <v>5</v>
      </c>
      <c r="E3" s="5" t="s">
        <v>350</v>
      </c>
      <c r="F3" s="5" t="s">
        <v>349</v>
      </c>
      <c r="G3" s="5" t="s">
        <v>358</v>
      </c>
    </row>
    <row r="4" spans="1:8" ht="15.75" x14ac:dyDescent="0.25">
      <c r="A4" s="3">
        <v>500000</v>
      </c>
      <c r="B4" s="40" t="s">
        <v>119</v>
      </c>
      <c r="C4" s="41">
        <v>224994.44</v>
      </c>
      <c r="D4" s="41">
        <v>239751.84</v>
      </c>
      <c r="E4" s="41">
        <v>253191</v>
      </c>
      <c r="F4" s="41">
        <v>285000</v>
      </c>
      <c r="G4" s="41">
        <f>248942+2000</f>
        <v>250942</v>
      </c>
    </row>
    <row r="5" spans="1:8" ht="15.75" x14ac:dyDescent="0.25">
      <c r="A5" s="3">
        <v>500150</v>
      </c>
      <c r="B5" s="4" t="s">
        <v>290</v>
      </c>
      <c r="C5" s="6">
        <v>0</v>
      </c>
      <c r="D5" s="6">
        <v>0</v>
      </c>
      <c r="E5" s="6">
        <v>0</v>
      </c>
      <c r="F5" s="6">
        <v>0</v>
      </c>
      <c r="G5" s="36">
        <v>0</v>
      </c>
    </row>
    <row r="6" spans="1:8" ht="15.75" x14ac:dyDescent="0.25">
      <c r="A6" s="3">
        <v>501000</v>
      </c>
      <c r="B6" s="4" t="s">
        <v>122</v>
      </c>
      <c r="C6" s="6">
        <v>16066.06</v>
      </c>
      <c r="D6" s="6">
        <v>17170.55</v>
      </c>
      <c r="E6" s="6">
        <v>18158</v>
      </c>
      <c r="F6" s="6">
        <v>21800</v>
      </c>
      <c r="G6" s="6">
        <v>19200</v>
      </c>
    </row>
    <row r="7" spans="1:8" ht="15.75" x14ac:dyDescent="0.25">
      <c r="A7" s="3">
        <v>501100</v>
      </c>
      <c r="B7" s="4" t="s">
        <v>123</v>
      </c>
      <c r="C7" s="6">
        <v>63135.96</v>
      </c>
      <c r="D7" s="6">
        <v>66264</v>
      </c>
      <c r="E7" s="6">
        <v>66226</v>
      </c>
      <c r="F7" s="6">
        <f>65000+1416</f>
        <v>66416</v>
      </c>
      <c r="G7" s="6">
        <f>62500*1.103</f>
        <v>68937.5</v>
      </c>
      <c r="H7" s="2" t="s">
        <v>381</v>
      </c>
    </row>
    <row r="8" spans="1:8" ht="15.75" x14ac:dyDescent="0.25">
      <c r="A8" s="3">
        <v>501150</v>
      </c>
      <c r="B8" s="4" t="s">
        <v>129</v>
      </c>
      <c r="C8" s="6">
        <v>1177.8900000000001</v>
      </c>
      <c r="D8" s="6">
        <v>1192.8399999999999</v>
      </c>
      <c r="E8" s="6">
        <v>1195</v>
      </c>
      <c r="F8" s="6">
        <v>1400</v>
      </c>
      <c r="G8" s="6">
        <f>1200*1.103</f>
        <v>1323.6</v>
      </c>
      <c r="H8" s="2" t="s">
        <v>381</v>
      </c>
    </row>
    <row r="9" spans="1:8" ht="15.75" x14ac:dyDescent="0.25">
      <c r="A9" s="3">
        <v>501200</v>
      </c>
      <c r="B9" s="4" t="s">
        <v>130</v>
      </c>
      <c r="C9" s="6">
        <v>39918.980000000003</v>
      </c>
      <c r="D9" s="6">
        <v>41119.660000000003</v>
      </c>
      <c r="E9" s="6">
        <v>42056</v>
      </c>
      <c r="F9" s="6">
        <v>42500</v>
      </c>
      <c r="G9" s="6">
        <v>87000</v>
      </c>
      <c r="H9" s="2" t="s">
        <v>382</v>
      </c>
    </row>
    <row r="10" spans="1:8" ht="15.75" x14ac:dyDescent="0.25">
      <c r="A10" s="3">
        <v>501225</v>
      </c>
      <c r="B10" s="4" t="s">
        <v>131</v>
      </c>
      <c r="C10" s="6">
        <v>571.23</v>
      </c>
      <c r="D10" s="6">
        <v>563.09</v>
      </c>
      <c r="E10" s="6">
        <v>633</v>
      </c>
      <c r="F10" s="6">
        <v>1000</v>
      </c>
      <c r="G10" s="6">
        <v>500</v>
      </c>
    </row>
    <row r="11" spans="1:8" ht="16.5" thickBot="1" x14ac:dyDescent="0.3">
      <c r="A11" s="3">
        <v>501250</v>
      </c>
      <c r="B11" s="4" t="s">
        <v>124</v>
      </c>
      <c r="C11" s="6">
        <v>2423.7600000000002</v>
      </c>
      <c r="D11" s="6">
        <v>2564.6799999999998</v>
      </c>
      <c r="E11" s="6">
        <v>1909</v>
      </c>
      <c r="F11" s="6">
        <v>4050</v>
      </c>
      <c r="G11" s="6">
        <v>2200</v>
      </c>
    </row>
    <row r="12" spans="1:8" ht="16.5" thickBot="1" x14ac:dyDescent="0.3">
      <c r="A12" s="7" t="s">
        <v>10</v>
      </c>
      <c r="B12" s="8"/>
      <c r="C12" s="30">
        <f>SUM(C4:C11)</f>
        <v>348288.32</v>
      </c>
      <c r="D12" s="30">
        <f>SUM(D4:D11)</f>
        <v>368626.66000000003</v>
      </c>
      <c r="E12" s="30">
        <f>SUM(E4:E11)</f>
        <v>383368</v>
      </c>
      <c r="F12" s="30">
        <f>SUM(F4:F11)</f>
        <v>422166</v>
      </c>
      <c r="G12" s="30">
        <f>SUM(G4:G11)</f>
        <v>430103.1</v>
      </c>
    </row>
    <row r="14" spans="1:8" ht="15.75" thickBot="1" x14ac:dyDescent="0.25">
      <c r="A14" s="1" t="s">
        <v>8</v>
      </c>
      <c r="B14" s="1"/>
      <c r="C14" s="1"/>
      <c r="D14" s="1"/>
      <c r="E14" s="1"/>
      <c r="F14" s="1"/>
      <c r="G14" s="1"/>
    </row>
    <row r="15" spans="1:8" ht="31.5" x14ac:dyDescent="0.2">
      <c r="A15" s="5" t="s">
        <v>1</v>
      </c>
      <c r="B15" s="5" t="s">
        <v>2</v>
      </c>
      <c r="C15" s="5" t="s">
        <v>6</v>
      </c>
      <c r="D15" s="5" t="s">
        <v>5</v>
      </c>
      <c r="E15" s="5" t="s">
        <v>350</v>
      </c>
      <c r="F15" s="5" t="s">
        <v>349</v>
      </c>
      <c r="G15" s="5" t="s">
        <v>357</v>
      </c>
    </row>
    <row r="16" spans="1:8" ht="15.75" x14ac:dyDescent="0.25">
      <c r="A16" s="3">
        <v>501300</v>
      </c>
      <c r="B16" s="4" t="s">
        <v>132</v>
      </c>
      <c r="C16" s="36">
        <v>5589.63</v>
      </c>
      <c r="D16" s="36">
        <v>7039.76</v>
      </c>
      <c r="E16" s="36">
        <v>7503</v>
      </c>
      <c r="F16" s="36">
        <v>5500</v>
      </c>
      <c r="G16" s="36">
        <v>7100</v>
      </c>
    </row>
    <row r="17" spans="1:7" ht="15.75" x14ac:dyDescent="0.25">
      <c r="A17" s="3">
        <v>501350</v>
      </c>
      <c r="B17" s="4" t="s">
        <v>133</v>
      </c>
      <c r="C17" s="6">
        <v>4627</v>
      </c>
      <c r="D17" s="6">
        <v>5079</v>
      </c>
      <c r="E17" s="6">
        <v>5287</v>
      </c>
      <c r="F17" s="6">
        <v>4800</v>
      </c>
      <c r="G17" s="6">
        <v>4300</v>
      </c>
    </row>
    <row r="18" spans="1:7" ht="15.75" x14ac:dyDescent="0.25">
      <c r="A18" s="3">
        <v>510050</v>
      </c>
      <c r="B18" s="4" t="s">
        <v>135</v>
      </c>
      <c r="C18" s="6">
        <v>1062.51</v>
      </c>
      <c r="D18" s="6">
        <v>0</v>
      </c>
      <c r="E18" s="6">
        <v>22780</v>
      </c>
      <c r="F18" s="6">
        <v>0</v>
      </c>
      <c r="G18" s="6">
        <v>0</v>
      </c>
    </row>
    <row r="19" spans="1:7" ht="15.75" x14ac:dyDescent="0.25">
      <c r="A19" s="3">
        <v>510100</v>
      </c>
      <c r="B19" s="4" t="s">
        <v>136</v>
      </c>
      <c r="C19" s="6">
        <v>11896.65</v>
      </c>
      <c r="D19" s="6">
        <v>16865.34</v>
      </c>
      <c r="E19" s="6">
        <v>24574.16</v>
      </c>
      <c r="F19" s="6">
        <v>14000</v>
      </c>
      <c r="G19" s="6">
        <v>25000</v>
      </c>
    </row>
    <row r="20" spans="1:7" ht="15.75" x14ac:dyDescent="0.25">
      <c r="A20" s="3">
        <v>510150</v>
      </c>
      <c r="B20" s="4" t="s">
        <v>138</v>
      </c>
      <c r="C20" s="6">
        <v>1940.87</v>
      </c>
      <c r="D20" s="6">
        <v>2095.85</v>
      </c>
      <c r="E20" s="6">
        <v>3141.95</v>
      </c>
      <c r="F20" s="6">
        <v>2000</v>
      </c>
      <c r="G20" s="6">
        <v>5700</v>
      </c>
    </row>
    <row r="21" spans="1:7" ht="15.75" x14ac:dyDescent="0.25">
      <c r="A21" s="3">
        <v>510250</v>
      </c>
      <c r="B21" s="4" t="s">
        <v>140</v>
      </c>
      <c r="C21" s="6">
        <v>17223.82</v>
      </c>
      <c r="D21" s="6">
        <v>17861.669999999998</v>
      </c>
      <c r="E21" s="6">
        <v>18893.419999999998</v>
      </c>
      <c r="F21" s="6">
        <v>18000</v>
      </c>
      <c r="G21" s="6">
        <v>17200</v>
      </c>
    </row>
    <row r="22" spans="1:7" ht="15.75" x14ac:dyDescent="0.25">
      <c r="A22" s="3">
        <v>510350</v>
      </c>
      <c r="B22" s="4" t="s">
        <v>142</v>
      </c>
      <c r="C22" s="6">
        <v>51.78</v>
      </c>
      <c r="D22" s="6">
        <v>0</v>
      </c>
      <c r="E22" s="6">
        <v>90.77</v>
      </c>
      <c r="F22" s="6">
        <v>500</v>
      </c>
      <c r="G22" s="6">
        <v>500</v>
      </c>
    </row>
    <row r="23" spans="1:7" ht="15.75" x14ac:dyDescent="0.25">
      <c r="A23" s="3">
        <v>510400</v>
      </c>
      <c r="B23" s="4" t="s">
        <v>143</v>
      </c>
      <c r="C23" s="6">
        <v>6685.73</v>
      </c>
      <c r="D23" s="6">
        <v>7255.3</v>
      </c>
      <c r="E23" s="6">
        <v>7625.36</v>
      </c>
      <c r="F23" s="6">
        <v>7500</v>
      </c>
      <c r="G23" s="6">
        <v>4000</v>
      </c>
    </row>
    <row r="24" spans="1:7" ht="15.75" x14ac:dyDescent="0.25">
      <c r="A24" s="3">
        <v>510450</v>
      </c>
      <c r="B24" s="4" t="s">
        <v>145</v>
      </c>
      <c r="C24" s="6">
        <v>587.54999999999995</v>
      </c>
      <c r="D24" s="6">
        <v>898.32</v>
      </c>
      <c r="E24" s="6">
        <v>1775.74</v>
      </c>
      <c r="F24" s="6">
        <v>1500</v>
      </c>
      <c r="G24" s="6">
        <v>2500</v>
      </c>
    </row>
    <row r="25" spans="1:7" ht="15.75" x14ac:dyDescent="0.25">
      <c r="A25" s="3">
        <v>510500</v>
      </c>
      <c r="B25" s="4" t="s">
        <v>170</v>
      </c>
      <c r="C25" s="6">
        <v>7770.62</v>
      </c>
      <c r="D25" s="6">
        <v>9128.44</v>
      </c>
      <c r="E25" s="6">
        <v>6349.13</v>
      </c>
      <c r="F25" s="6">
        <v>8000</v>
      </c>
      <c r="G25" s="6">
        <v>5000</v>
      </c>
    </row>
    <row r="26" spans="1:7" ht="15.75" x14ac:dyDescent="0.25">
      <c r="A26" s="3">
        <v>510550</v>
      </c>
      <c r="B26" s="4" t="s">
        <v>146</v>
      </c>
      <c r="C26" s="6">
        <v>1128.02</v>
      </c>
      <c r="D26" s="6">
        <v>931.77</v>
      </c>
      <c r="E26" s="6">
        <v>2341.2199999999998</v>
      </c>
      <c r="F26" s="6">
        <v>2000</v>
      </c>
      <c r="G26" s="6">
        <v>1500</v>
      </c>
    </row>
    <row r="27" spans="1:7" ht="15.75" x14ac:dyDescent="0.25">
      <c r="A27" s="3">
        <v>510600</v>
      </c>
      <c r="B27" s="4" t="s">
        <v>147</v>
      </c>
      <c r="C27" s="6">
        <v>4898.8100000000004</v>
      </c>
      <c r="D27" s="6">
        <v>2280.67</v>
      </c>
      <c r="E27" s="6">
        <v>7200.48</v>
      </c>
      <c r="F27" s="6">
        <v>3000</v>
      </c>
      <c r="G27" s="6">
        <v>10000</v>
      </c>
    </row>
    <row r="28" spans="1:7" ht="15.75" x14ac:dyDescent="0.25">
      <c r="A28" s="3">
        <v>510625</v>
      </c>
      <c r="B28" s="4" t="s">
        <v>148</v>
      </c>
      <c r="C28" s="6">
        <v>2650.74</v>
      </c>
      <c r="D28" s="6">
        <v>2897.89</v>
      </c>
      <c r="E28" s="6">
        <v>2341.92</v>
      </c>
      <c r="F28" s="6">
        <v>3000</v>
      </c>
      <c r="G28" s="6">
        <v>1100</v>
      </c>
    </row>
    <row r="29" spans="1:7" ht="15.75" x14ac:dyDescent="0.25">
      <c r="A29" s="3">
        <v>510700</v>
      </c>
      <c r="B29" s="4" t="s">
        <v>149</v>
      </c>
      <c r="C29" s="6">
        <v>5989.45</v>
      </c>
      <c r="D29" s="6">
        <v>10347.6</v>
      </c>
      <c r="E29" s="6">
        <v>6008.78</v>
      </c>
      <c r="F29" s="6">
        <v>10000</v>
      </c>
      <c r="G29" s="6">
        <v>2500</v>
      </c>
    </row>
    <row r="30" spans="1:7" ht="15.75" x14ac:dyDescent="0.25">
      <c r="A30" s="3">
        <v>510750</v>
      </c>
      <c r="B30" s="4" t="s">
        <v>150</v>
      </c>
      <c r="C30" s="6">
        <v>10004.93</v>
      </c>
      <c r="D30" s="6">
        <v>14735.03</v>
      </c>
      <c r="E30" s="6">
        <v>1965.47</v>
      </c>
      <c r="F30" s="6">
        <v>15000</v>
      </c>
      <c r="G30" s="6">
        <v>7500</v>
      </c>
    </row>
    <row r="31" spans="1:7" ht="15.75" x14ac:dyDescent="0.25">
      <c r="A31" s="3">
        <v>510800</v>
      </c>
      <c r="B31" s="4" t="s">
        <v>151</v>
      </c>
      <c r="C31" s="6">
        <v>12710.48</v>
      </c>
      <c r="D31" s="6">
        <v>14901.42</v>
      </c>
      <c r="E31" s="6">
        <v>13945.97</v>
      </c>
      <c r="F31" s="6">
        <v>15000</v>
      </c>
      <c r="G31" s="6">
        <v>15000</v>
      </c>
    </row>
    <row r="32" spans="1:7" ht="15.75" x14ac:dyDescent="0.25">
      <c r="A32" s="3">
        <v>510900</v>
      </c>
      <c r="B32" s="4" t="s">
        <v>152</v>
      </c>
      <c r="C32" s="6">
        <v>0</v>
      </c>
      <c r="D32" s="6">
        <v>9609.81</v>
      </c>
      <c r="E32" s="6">
        <v>4109.91</v>
      </c>
      <c r="F32" s="6">
        <v>4500</v>
      </c>
      <c r="G32" s="6">
        <v>4000</v>
      </c>
    </row>
    <row r="33" spans="1:12" ht="15.75" x14ac:dyDescent="0.25">
      <c r="A33" s="3">
        <v>511000</v>
      </c>
      <c r="B33" s="4" t="s">
        <v>153</v>
      </c>
      <c r="C33" s="6">
        <v>0</v>
      </c>
      <c r="D33" s="6">
        <v>0</v>
      </c>
      <c r="E33" s="6">
        <v>159.52000000000001</v>
      </c>
      <c r="F33" s="6">
        <v>500</v>
      </c>
      <c r="G33" s="6">
        <v>500</v>
      </c>
    </row>
    <row r="34" spans="1:12" ht="15.75" x14ac:dyDescent="0.25">
      <c r="A34" s="3">
        <v>511100</v>
      </c>
      <c r="B34" s="4" t="s">
        <v>155</v>
      </c>
      <c r="C34" s="6">
        <v>15703.69</v>
      </c>
      <c r="D34" s="6">
        <v>13325.09</v>
      </c>
      <c r="E34" s="6">
        <v>13267.59</v>
      </c>
      <c r="F34" s="6">
        <v>12000</v>
      </c>
      <c r="G34" s="6">
        <v>15000</v>
      </c>
    </row>
    <row r="35" spans="1:12" ht="15.75" x14ac:dyDescent="0.25">
      <c r="A35" s="3">
        <v>511150</v>
      </c>
      <c r="B35" s="4" t="s">
        <v>156</v>
      </c>
      <c r="C35" s="6">
        <v>0</v>
      </c>
      <c r="D35" s="6">
        <v>0</v>
      </c>
      <c r="E35" s="6">
        <v>0</v>
      </c>
      <c r="F35" s="6">
        <v>500</v>
      </c>
      <c r="G35" s="6">
        <v>750</v>
      </c>
    </row>
    <row r="36" spans="1:12" ht="15.75" x14ac:dyDescent="0.25">
      <c r="A36" s="3">
        <v>511200</v>
      </c>
      <c r="B36" s="4" t="s">
        <v>157</v>
      </c>
      <c r="C36" s="6">
        <v>13834.89</v>
      </c>
      <c r="D36" s="6">
        <v>12664.75</v>
      </c>
      <c r="E36" s="6">
        <v>11474.51</v>
      </c>
      <c r="F36" s="6">
        <v>13000</v>
      </c>
      <c r="G36" s="6">
        <v>12000</v>
      </c>
    </row>
    <row r="37" spans="1:12" ht="15.75" x14ac:dyDescent="0.25">
      <c r="A37" s="3">
        <v>511250</v>
      </c>
      <c r="B37" s="4" t="s">
        <v>158</v>
      </c>
      <c r="C37" s="6">
        <v>51.52</v>
      </c>
      <c r="D37" s="6">
        <v>91.37</v>
      </c>
      <c r="E37" s="6">
        <v>80.52</v>
      </c>
      <c r="F37" s="6">
        <v>200</v>
      </c>
      <c r="G37" s="6">
        <v>200</v>
      </c>
    </row>
    <row r="38" spans="1:12" ht="15.75" x14ac:dyDescent="0.25">
      <c r="A38" s="3">
        <v>511300</v>
      </c>
      <c r="B38" s="4" t="s">
        <v>159</v>
      </c>
      <c r="C38" s="6">
        <v>97.05</v>
      </c>
      <c r="D38" s="6">
        <v>86.6</v>
      </c>
      <c r="E38" s="6">
        <v>114.45</v>
      </c>
      <c r="F38" s="6">
        <v>200</v>
      </c>
      <c r="G38" s="6">
        <v>200</v>
      </c>
    </row>
    <row r="39" spans="1:12" ht="15.75" x14ac:dyDescent="0.25">
      <c r="A39" s="3">
        <v>511350</v>
      </c>
      <c r="B39" s="4" t="s">
        <v>160</v>
      </c>
      <c r="C39" s="6">
        <v>248.08</v>
      </c>
      <c r="D39" s="6">
        <v>288.64</v>
      </c>
      <c r="E39" s="6">
        <v>259.45999999999998</v>
      </c>
      <c r="F39" s="6">
        <v>300</v>
      </c>
      <c r="G39" s="6">
        <v>400</v>
      </c>
      <c r="L39"/>
    </row>
    <row r="40" spans="1:12" ht="15.75" x14ac:dyDescent="0.25">
      <c r="A40" s="3">
        <v>511400</v>
      </c>
      <c r="B40" s="4" t="s">
        <v>194</v>
      </c>
      <c r="C40" s="6">
        <v>58137.13</v>
      </c>
      <c r="D40" s="6">
        <v>56543.38</v>
      </c>
      <c r="E40" s="6">
        <v>42831.12</v>
      </c>
      <c r="F40" s="6">
        <v>60534</v>
      </c>
      <c r="G40" s="6">
        <v>31000</v>
      </c>
      <c r="L40"/>
    </row>
    <row r="41" spans="1:12" ht="15.75" x14ac:dyDescent="0.25">
      <c r="A41" s="3">
        <v>511450</v>
      </c>
      <c r="B41" s="4" t="s">
        <v>195</v>
      </c>
      <c r="C41" s="6">
        <v>7309.33</v>
      </c>
      <c r="D41" s="6">
        <v>8668.5</v>
      </c>
      <c r="E41" s="6">
        <v>8318.92</v>
      </c>
      <c r="F41" s="6">
        <v>9000</v>
      </c>
      <c r="G41" s="6">
        <v>13000</v>
      </c>
      <c r="L41"/>
    </row>
    <row r="42" spans="1:12" ht="15.75" x14ac:dyDescent="0.25">
      <c r="A42" s="3">
        <v>511500</v>
      </c>
      <c r="B42" s="4" t="s">
        <v>196</v>
      </c>
      <c r="C42" s="6">
        <v>0</v>
      </c>
      <c r="D42" s="6">
        <v>0</v>
      </c>
      <c r="E42" s="6">
        <v>0</v>
      </c>
      <c r="F42" s="6">
        <v>500</v>
      </c>
      <c r="G42" s="6">
        <v>0</v>
      </c>
      <c r="L42"/>
    </row>
    <row r="43" spans="1:12" ht="15.75" x14ac:dyDescent="0.25">
      <c r="A43" s="3">
        <v>511550</v>
      </c>
      <c r="B43" s="4" t="s">
        <v>256</v>
      </c>
      <c r="C43" s="6">
        <v>12422.69</v>
      </c>
      <c r="D43" s="6">
        <v>14032.87</v>
      </c>
      <c r="E43" s="6">
        <v>15913.2</v>
      </c>
      <c r="F43" s="6">
        <v>15000</v>
      </c>
      <c r="G43" s="6">
        <v>12000</v>
      </c>
      <c r="I43" s="37" t="s">
        <v>215</v>
      </c>
      <c r="L43"/>
    </row>
    <row r="44" spans="1:12" ht="15.75" x14ac:dyDescent="0.25">
      <c r="A44" s="3">
        <v>511600</v>
      </c>
      <c r="B44" s="4" t="s">
        <v>257</v>
      </c>
      <c r="C44" s="6">
        <v>58.45</v>
      </c>
      <c r="D44" s="6">
        <v>172.2</v>
      </c>
      <c r="E44" s="6">
        <v>69.099999999999994</v>
      </c>
      <c r="F44" s="6">
        <v>300</v>
      </c>
      <c r="G44" s="6">
        <v>600</v>
      </c>
      <c r="L44"/>
    </row>
    <row r="45" spans="1:12" ht="15.75" x14ac:dyDescent="0.25">
      <c r="A45" s="3">
        <v>519000</v>
      </c>
      <c r="B45" s="4" t="s">
        <v>125</v>
      </c>
      <c r="C45" s="6">
        <v>26041.31</v>
      </c>
      <c r="D45" s="6">
        <v>2426.2800000000002</v>
      </c>
      <c r="E45" s="6">
        <v>133014</v>
      </c>
      <c r="F45" s="6">
        <v>5000</v>
      </c>
      <c r="G45" s="6">
        <v>1500</v>
      </c>
      <c r="L45"/>
    </row>
    <row r="46" spans="1:12" ht="15.75" x14ac:dyDescent="0.25">
      <c r="A46" s="3">
        <v>570000</v>
      </c>
      <c r="B46" s="4" t="s">
        <v>268</v>
      </c>
      <c r="C46" s="6">
        <v>5028858.96</v>
      </c>
      <c r="D46" s="6">
        <v>5638204.0499999998</v>
      </c>
      <c r="E46" s="6">
        <v>6222644.3200000003</v>
      </c>
      <c r="F46" s="6">
        <v>6150000</v>
      </c>
      <c r="G46" s="6">
        <v>8228000</v>
      </c>
      <c r="H46" s="95"/>
      <c r="I46" s="91"/>
    </row>
    <row r="47" spans="1:12" ht="15.75" x14ac:dyDescent="0.25">
      <c r="A47" s="3">
        <v>570050</v>
      </c>
      <c r="B47" s="4" t="s">
        <v>241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12" ht="15.75" x14ac:dyDescent="0.25">
      <c r="A48" s="3">
        <v>570100</v>
      </c>
      <c r="B48" s="4" t="s">
        <v>269</v>
      </c>
      <c r="C48" s="6">
        <v>0</v>
      </c>
      <c r="D48" s="6">
        <v>23653</v>
      </c>
      <c r="E48" s="6">
        <v>13830</v>
      </c>
      <c r="F48" s="6">
        <v>15000</v>
      </c>
      <c r="G48" s="6">
        <v>10000</v>
      </c>
    </row>
    <row r="49" spans="1:10" ht="15.75" x14ac:dyDescent="0.25">
      <c r="A49" s="3">
        <v>570150</v>
      </c>
      <c r="B49" s="4" t="s">
        <v>270</v>
      </c>
      <c r="C49" s="6">
        <v>0</v>
      </c>
      <c r="D49" s="6">
        <v>0</v>
      </c>
      <c r="E49" s="6">
        <v>1738</v>
      </c>
      <c r="F49" s="6">
        <v>2000</v>
      </c>
      <c r="G49" s="6">
        <v>2000</v>
      </c>
    </row>
    <row r="50" spans="1:10" ht="15.75" x14ac:dyDescent="0.25">
      <c r="A50" s="3">
        <v>570200</v>
      </c>
      <c r="B50" s="4" t="s">
        <v>200</v>
      </c>
      <c r="C50" s="6">
        <v>1234.69</v>
      </c>
      <c r="D50" s="6">
        <v>1893.78</v>
      </c>
      <c r="E50" s="6">
        <v>3688</v>
      </c>
      <c r="F50" s="6">
        <v>2000</v>
      </c>
      <c r="G50" s="6">
        <v>2000</v>
      </c>
    </row>
    <row r="51" spans="1:10" ht="15.75" x14ac:dyDescent="0.25">
      <c r="A51" s="3">
        <v>570250</v>
      </c>
      <c r="B51" s="4" t="s">
        <v>271</v>
      </c>
      <c r="C51" s="6">
        <v>22298.89</v>
      </c>
      <c r="D51" s="6">
        <v>11498.52</v>
      </c>
      <c r="E51" s="6">
        <v>3392</v>
      </c>
      <c r="F51" s="6">
        <v>15000</v>
      </c>
      <c r="G51" s="6">
        <v>11000</v>
      </c>
    </row>
    <row r="52" spans="1:10" ht="15.75" x14ac:dyDescent="0.25">
      <c r="A52" s="3">
        <v>570300</v>
      </c>
      <c r="B52" s="4" t="s">
        <v>272</v>
      </c>
      <c r="C52" s="6">
        <v>0</v>
      </c>
      <c r="D52" s="6">
        <v>0</v>
      </c>
      <c r="E52" s="6">
        <v>8925</v>
      </c>
      <c r="F52" s="6">
        <v>5000</v>
      </c>
      <c r="G52" s="6">
        <v>2000</v>
      </c>
    </row>
    <row r="53" spans="1:10" ht="15.75" x14ac:dyDescent="0.25">
      <c r="A53" s="3">
        <v>570350</v>
      </c>
      <c r="B53" s="4" t="s">
        <v>273</v>
      </c>
      <c r="C53" s="6">
        <v>8189.56</v>
      </c>
      <c r="D53" s="6">
        <v>7167.55</v>
      </c>
      <c r="E53" s="6">
        <v>13478</v>
      </c>
      <c r="F53" s="6">
        <v>10000</v>
      </c>
      <c r="G53" s="6">
        <v>7500</v>
      </c>
    </row>
    <row r="54" spans="1:10" ht="15.75" x14ac:dyDescent="0.25">
      <c r="A54" s="3">
        <v>570400</v>
      </c>
      <c r="B54" s="4" t="s">
        <v>274</v>
      </c>
      <c r="C54" s="6">
        <v>11519.47</v>
      </c>
      <c r="D54" s="6">
        <v>11242.54</v>
      </c>
      <c r="E54" s="6">
        <v>6535</v>
      </c>
      <c r="F54" s="6">
        <v>15000</v>
      </c>
      <c r="G54" s="6">
        <v>10000</v>
      </c>
    </row>
    <row r="55" spans="1:10" ht="15.75" x14ac:dyDescent="0.25">
      <c r="A55" s="3">
        <v>570450</v>
      </c>
      <c r="B55" s="4" t="s">
        <v>275</v>
      </c>
      <c r="C55" s="6">
        <v>0</v>
      </c>
      <c r="D55" s="6">
        <v>0</v>
      </c>
      <c r="E55" s="6">
        <v>838</v>
      </c>
      <c r="F55" s="6">
        <v>0</v>
      </c>
      <c r="G55" s="6">
        <v>4000</v>
      </c>
    </row>
    <row r="56" spans="1:10" ht="15.75" x14ac:dyDescent="0.25">
      <c r="A56" s="3">
        <v>570500</v>
      </c>
      <c r="B56" s="4" t="s">
        <v>276</v>
      </c>
      <c r="C56" s="6">
        <v>4226.62</v>
      </c>
      <c r="D56" s="6">
        <v>3243</v>
      </c>
      <c r="E56" s="6">
        <v>4736</v>
      </c>
      <c r="F56" s="6">
        <v>5000</v>
      </c>
      <c r="G56" s="6">
        <v>4500</v>
      </c>
    </row>
    <row r="57" spans="1:10" ht="15.75" x14ac:dyDescent="0.25">
      <c r="A57" s="3">
        <v>570550</v>
      </c>
      <c r="B57" s="4" t="s">
        <v>277</v>
      </c>
      <c r="C57" s="6">
        <v>219.69</v>
      </c>
      <c r="D57" s="6">
        <v>10896.93</v>
      </c>
      <c r="E57" s="6">
        <v>5506</v>
      </c>
      <c r="F57" s="6">
        <v>12000</v>
      </c>
      <c r="G57" s="6">
        <v>8000</v>
      </c>
    </row>
    <row r="58" spans="1:10" ht="15.75" x14ac:dyDescent="0.25">
      <c r="A58" s="3">
        <v>570600</v>
      </c>
      <c r="B58" s="4" t="s">
        <v>278</v>
      </c>
      <c r="C58" s="6">
        <v>266.12</v>
      </c>
      <c r="D58" s="6">
        <v>402.19</v>
      </c>
      <c r="E58" s="6">
        <v>520</v>
      </c>
      <c r="F58" s="6">
        <v>1000</v>
      </c>
      <c r="G58" s="6">
        <v>4500</v>
      </c>
    </row>
    <row r="59" spans="1:10" ht="15.75" x14ac:dyDescent="0.25">
      <c r="A59" s="3">
        <v>570625</v>
      </c>
      <c r="B59" s="4" t="s">
        <v>279</v>
      </c>
      <c r="C59" s="6">
        <v>3195.61</v>
      </c>
      <c r="D59" s="6">
        <v>22444.21</v>
      </c>
      <c r="E59" s="6">
        <v>8246</v>
      </c>
      <c r="F59" s="6">
        <v>16000</v>
      </c>
      <c r="G59" s="6">
        <v>8000</v>
      </c>
    </row>
    <row r="60" spans="1:10" ht="15.75" x14ac:dyDescent="0.25">
      <c r="A60" s="3">
        <v>570650</v>
      </c>
      <c r="B60" s="4" t="s">
        <v>280</v>
      </c>
      <c r="C60" s="6">
        <v>2311.4299999999998</v>
      </c>
      <c r="D60" s="6">
        <v>0</v>
      </c>
      <c r="E60" s="6">
        <v>0</v>
      </c>
      <c r="F60" s="6">
        <v>2500</v>
      </c>
      <c r="G60" s="6">
        <v>0</v>
      </c>
    </row>
    <row r="61" spans="1:10" ht="30.75" x14ac:dyDescent="0.25">
      <c r="A61" s="3">
        <v>595100</v>
      </c>
      <c r="B61" s="4" t="s">
        <v>242</v>
      </c>
      <c r="C61" s="6">
        <v>207415</v>
      </c>
      <c r="D61" s="6">
        <v>161170</v>
      </c>
      <c r="E61" s="6">
        <v>167977</v>
      </c>
      <c r="F61" s="6">
        <v>325000</v>
      </c>
      <c r="G61" s="6">
        <f>354000+13164</f>
        <v>367164</v>
      </c>
      <c r="H61" s="97" t="s">
        <v>413</v>
      </c>
    </row>
    <row r="62" spans="1:10" ht="16.5" thickBot="1" x14ac:dyDescent="0.3">
      <c r="A62" s="3">
        <v>595200</v>
      </c>
      <c r="B62" s="4" t="s">
        <v>243</v>
      </c>
      <c r="C62" s="6">
        <v>9176.93</v>
      </c>
      <c r="D62" s="6">
        <v>11795.27</v>
      </c>
      <c r="E62" s="6">
        <v>15914</v>
      </c>
      <c r="F62" s="6">
        <v>35000</v>
      </c>
      <c r="G62" s="6">
        <v>24000</v>
      </c>
    </row>
    <row r="63" spans="1:10" ht="16.5" thickBot="1" x14ac:dyDescent="0.3">
      <c r="A63" s="7" t="s">
        <v>11</v>
      </c>
      <c r="B63" s="8"/>
      <c r="C63" s="30">
        <f>SUM(C16:C62)</f>
        <v>5527635.6999999993</v>
      </c>
      <c r="D63" s="30">
        <f>SUM(D16:D62)</f>
        <v>6133838.5899999989</v>
      </c>
      <c r="E63" s="30">
        <f>SUM(E16:E62)</f>
        <v>6839403.9900000002</v>
      </c>
      <c r="F63" s="30">
        <f>SUM(F16:F62)</f>
        <v>6841834</v>
      </c>
      <c r="G63" s="30">
        <f>SUM(G16:G62)</f>
        <v>8892714</v>
      </c>
      <c r="J63" s="37" t="s">
        <v>215</v>
      </c>
    </row>
    <row r="64" spans="1:10" ht="15.75" thickBot="1" x14ac:dyDescent="0.25"/>
    <row r="65" spans="1:9" ht="16.5" thickBot="1" x14ac:dyDescent="0.3">
      <c r="A65" s="9" t="s">
        <v>48</v>
      </c>
      <c r="B65" s="10"/>
      <c r="C65" s="10"/>
      <c r="D65" s="10"/>
      <c r="E65" s="10"/>
      <c r="F65" s="10"/>
      <c r="G65" s="10"/>
    </row>
    <row r="66" spans="1:9" ht="15" customHeight="1" x14ac:dyDescent="0.2">
      <c r="A66" s="150"/>
      <c r="B66" s="152" t="s">
        <v>12</v>
      </c>
      <c r="C66" s="152" t="s">
        <v>6</v>
      </c>
      <c r="D66" s="152" t="s">
        <v>5</v>
      </c>
      <c r="E66" s="152" t="s">
        <v>350</v>
      </c>
      <c r="F66" s="152" t="s">
        <v>349</v>
      </c>
      <c r="G66" s="152" t="s">
        <v>357</v>
      </c>
    </row>
    <row r="67" spans="1:9" ht="31.5" customHeight="1" thickBot="1" x14ac:dyDescent="0.25">
      <c r="A67" s="151"/>
      <c r="B67" s="153"/>
      <c r="C67" s="153"/>
      <c r="D67" s="153" t="s">
        <v>5</v>
      </c>
      <c r="E67" s="153" t="s">
        <v>4</v>
      </c>
      <c r="F67" s="153" t="s">
        <v>3</v>
      </c>
      <c r="G67" s="153" t="s">
        <v>3</v>
      </c>
    </row>
    <row r="68" spans="1:9" ht="15.75" x14ac:dyDescent="0.25">
      <c r="A68" s="3"/>
      <c r="B68" s="4" t="s">
        <v>13</v>
      </c>
      <c r="C68" s="47">
        <f>C12</f>
        <v>348288.32</v>
      </c>
      <c r="D68" s="47">
        <f>D12</f>
        <v>368626.66000000003</v>
      </c>
      <c r="E68" s="47">
        <f>E12</f>
        <v>383368</v>
      </c>
      <c r="F68" s="47">
        <f>F12</f>
        <v>422166</v>
      </c>
      <c r="G68" s="47">
        <f>G12</f>
        <v>430103.1</v>
      </c>
    </row>
    <row r="69" spans="1:9" ht="15.75" x14ac:dyDescent="0.25">
      <c r="A69" s="3"/>
      <c r="B69" s="4" t="s">
        <v>14</v>
      </c>
      <c r="C69" s="6">
        <f>C63</f>
        <v>5527635.6999999993</v>
      </c>
      <c r="D69" s="6">
        <f>D63</f>
        <v>6133838.5899999989</v>
      </c>
      <c r="E69" s="6">
        <f>E63</f>
        <v>6839403.9900000002</v>
      </c>
      <c r="F69" s="6">
        <f>F63</f>
        <v>6841834</v>
      </c>
      <c r="G69" s="6">
        <f>G63</f>
        <v>8892714</v>
      </c>
    </row>
    <row r="70" spans="1:9" ht="15.75" x14ac:dyDescent="0.25">
      <c r="A70" s="3"/>
      <c r="B70" s="4" t="s">
        <v>29</v>
      </c>
      <c r="C70" s="6"/>
      <c r="D70" s="6"/>
      <c r="E70" s="6"/>
      <c r="F70" s="6"/>
      <c r="G70" s="6">
        <f>10000000*0.0534</f>
        <v>534000</v>
      </c>
      <c r="H70" s="2" t="s">
        <v>435</v>
      </c>
    </row>
    <row r="71" spans="1:9" ht="16.5" thickBot="1" x14ac:dyDescent="0.3">
      <c r="A71" s="3"/>
      <c r="B71" s="4" t="s">
        <v>15</v>
      </c>
      <c r="C71" s="6">
        <v>1900</v>
      </c>
      <c r="D71" s="6">
        <v>4744.16</v>
      </c>
      <c r="E71" s="6">
        <v>79598</v>
      </c>
      <c r="F71" s="6">
        <v>0</v>
      </c>
      <c r="G71" s="6">
        <v>0</v>
      </c>
    </row>
    <row r="72" spans="1:9" ht="15.75" x14ac:dyDescent="0.25">
      <c r="A72" s="11" t="s">
        <v>16</v>
      </c>
      <c r="B72" s="12"/>
      <c r="C72" s="31">
        <f>SUM(C68:C71)</f>
        <v>5877824.0199999996</v>
      </c>
      <c r="D72" s="31">
        <f>SUM(D68:D71)</f>
        <v>6507209.4099999992</v>
      </c>
      <c r="E72" s="31">
        <f>SUM(E68:E71)</f>
        <v>7302369.9900000002</v>
      </c>
      <c r="F72" s="31">
        <f>SUM(F68:F71)</f>
        <v>7264000</v>
      </c>
      <c r="G72" s="31">
        <f>SUM(G68:G71)</f>
        <v>9856817.0999999996</v>
      </c>
    </row>
    <row r="74" spans="1:9" x14ac:dyDescent="0.2">
      <c r="A74" s="89" t="s">
        <v>394</v>
      </c>
    </row>
    <row r="75" spans="1:9" x14ac:dyDescent="0.2">
      <c r="A75" s="2" t="s">
        <v>400</v>
      </c>
    </row>
    <row r="77" spans="1:9" x14ac:dyDescent="0.2">
      <c r="A77" s="89" t="s">
        <v>401</v>
      </c>
    </row>
    <row r="78" spans="1:9" x14ac:dyDescent="0.2">
      <c r="A78" s="2" t="s">
        <v>433</v>
      </c>
      <c r="G78" s="110"/>
      <c r="I78" s="110"/>
    </row>
    <row r="79" spans="1:9" x14ac:dyDescent="0.2">
      <c r="A79" s="2" t="s">
        <v>434</v>
      </c>
      <c r="G79" s="110">
        <f>-PMT(0.055,10,2000000)</f>
        <v>265335.53740679612</v>
      </c>
    </row>
  </sheetData>
  <mergeCells count="8">
    <mergeCell ref="G66:G67"/>
    <mergeCell ref="A1:G1"/>
    <mergeCell ref="A66:A67"/>
    <mergeCell ref="B66:B67"/>
    <mergeCell ref="C66:C67"/>
    <mergeCell ref="D66:D67"/>
    <mergeCell ref="E66:E67"/>
    <mergeCell ref="F66:F67"/>
  </mergeCells>
  <pageMargins left="0.45" right="0.45" top="0.75" bottom="0.75" header="0.3" footer="0.3"/>
  <pageSetup scale="5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E041-DC97-4DEE-ABEF-44E990F9E897}">
  <dimension ref="B3:AX50"/>
  <sheetViews>
    <sheetView topLeftCell="Z4" workbookViewId="0">
      <selection activeCell="AH29" sqref="AH27:AH29"/>
    </sheetView>
  </sheetViews>
  <sheetFormatPr defaultRowHeight="15" x14ac:dyDescent="0.25"/>
  <cols>
    <col min="2" max="2" width="22.7109375" bestFit="1" customWidth="1"/>
    <col min="3" max="3" width="10" bestFit="1" customWidth="1"/>
    <col min="4" max="4" width="14.28515625" bestFit="1" customWidth="1"/>
    <col min="9" max="9" width="10" bestFit="1" customWidth="1"/>
    <col min="12" max="13" width="10" bestFit="1" customWidth="1"/>
    <col min="15" max="15" width="10" bestFit="1" customWidth="1"/>
    <col min="29" max="29" width="14.28515625" bestFit="1" customWidth="1"/>
  </cols>
  <sheetData>
    <row r="3" spans="2:50" x14ac:dyDescent="0.25">
      <c r="B3" t="s">
        <v>215</v>
      </c>
    </row>
    <row r="4" spans="2:50" x14ac:dyDescent="0.25">
      <c r="B4" t="s">
        <v>332</v>
      </c>
      <c r="C4" t="s">
        <v>331</v>
      </c>
      <c r="D4" t="s">
        <v>3</v>
      </c>
    </row>
    <row r="5" spans="2:50" x14ac:dyDescent="0.25">
      <c r="B5" s="132" t="s">
        <v>297</v>
      </c>
      <c r="C5" t="s">
        <v>7</v>
      </c>
      <c r="D5" s="49">
        <v>21245</v>
      </c>
      <c r="F5" s="132" t="s">
        <v>297</v>
      </c>
      <c r="G5" s="132"/>
      <c r="H5" s="132"/>
      <c r="I5" s="132" t="s">
        <v>0</v>
      </c>
      <c r="J5" s="132"/>
      <c r="K5" s="132"/>
      <c r="L5" s="132" t="s">
        <v>17</v>
      </c>
      <c r="M5" s="132"/>
      <c r="N5" s="132"/>
      <c r="O5" s="132" t="s">
        <v>298</v>
      </c>
      <c r="P5" s="132"/>
      <c r="Q5" s="132"/>
      <c r="R5" s="132" t="s">
        <v>299</v>
      </c>
      <c r="S5" s="132"/>
      <c r="T5" s="132"/>
      <c r="U5" s="132" t="s">
        <v>300</v>
      </c>
      <c r="V5" s="132"/>
      <c r="W5" s="132"/>
      <c r="X5" s="132" t="s">
        <v>301</v>
      </c>
      <c r="Y5" s="132"/>
      <c r="Z5" s="132"/>
      <c r="AA5" s="132" t="s">
        <v>302</v>
      </c>
      <c r="AB5" s="132"/>
      <c r="AC5" s="132"/>
      <c r="AD5" s="132" t="s">
        <v>303</v>
      </c>
      <c r="AE5" s="132"/>
      <c r="AF5" s="132"/>
      <c r="AG5" s="132" t="s">
        <v>304</v>
      </c>
      <c r="AH5" s="132"/>
      <c r="AI5" s="132"/>
      <c r="AJ5" s="132" t="s">
        <v>305</v>
      </c>
      <c r="AK5" s="132"/>
      <c r="AL5" s="132"/>
      <c r="AM5" s="132" t="s">
        <v>306</v>
      </c>
      <c r="AN5" s="132"/>
      <c r="AO5" s="132"/>
      <c r="AP5" s="132" t="s">
        <v>307</v>
      </c>
      <c r="AQ5" s="132"/>
      <c r="AR5" s="132"/>
      <c r="AS5" s="132" t="s">
        <v>308</v>
      </c>
      <c r="AT5" s="132"/>
      <c r="AU5" s="132"/>
      <c r="AV5" s="132" t="s">
        <v>309</v>
      </c>
      <c r="AW5" s="132"/>
      <c r="AX5" s="132"/>
    </row>
    <row r="6" spans="2:50" x14ac:dyDescent="0.25">
      <c r="B6" s="132"/>
      <c r="C6" t="s">
        <v>32</v>
      </c>
      <c r="D6" s="49">
        <v>7000</v>
      </c>
      <c r="F6" t="s">
        <v>7</v>
      </c>
      <c r="G6" t="s">
        <v>32</v>
      </c>
      <c r="H6" t="s">
        <v>33</v>
      </c>
      <c r="I6" t="s">
        <v>7</v>
      </c>
      <c r="J6" t="s">
        <v>32</v>
      </c>
      <c r="K6" t="s">
        <v>33</v>
      </c>
      <c r="L6" t="s">
        <v>7</v>
      </c>
      <c r="M6" t="s">
        <v>32</v>
      </c>
      <c r="N6" t="s">
        <v>33</v>
      </c>
      <c r="O6" t="s">
        <v>7</v>
      </c>
      <c r="P6" t="s">
        <v>32</v>
      </c>
      <c r="Q6" t="s">
        <v>33</v>
      </c>
      <c r="R6" t="s">
        <v>7</v>
      </c>
      <c r="S6" t="s">
        <v>32</v>
      </c>
      <c r="T6" t="s">
        <v>33</v>
      </c>
      <c r="U6" t="s">
        <v>7</v>
      </c>
      <c r="V6" t="s">
        <v>32</v>
      </c>
      <c r="W6" t="s">
        <v>33</v>
      </c>
      <c r="X6" t="s">
        <v>7</v>
      </c>
      <c r="Y6" t="s">
        <v>32</v>
      </c>
      <c r="Z6" t="s">
        <v>33</v>
      </c>
      <c r="AA6" t="s">
        <v>7</v>
      </c>
      <c r="AB6" t="s">
        <v>32</v>
      </c>
      <c r="AC6" t="s">
        <v>33</v>
      </c>
      <c r="AD6" t="s">
        <v>7</v>
      </c>
      <c r="AE6" t="s">
        <v>32</v>
      </c>
      <c r="AF6" t="s">
        <v>33</v>
      </c>
      <c r="AG6" t="s">
        <v>7</v>
      </c>
      <c r="AH6" t="s">
        <v>32</v>
      </c>
      <c r="AI6" t="s">
        <v>33</v>
      </c>
      <c r="AJ6" t="s">
        <v>7</v>
      </c>
      <c r="AK6" t="s">
        <v>32</v>
      </c>
      <c r="AL6" t="s">
        <v>33</v>
      </c>
      <c r="AM6" t="s">
        <v>7</v>
      </c>
      <c r="AN6" t="s">
        <v>32</v>
      </c>
      <c r="AO6" t="s">
        <v>33</v>
      </c>
      <c r="AP6" t="s">
        <v>7</v>
      </c>
      <c r="AQ6" t="s">
        <v>32</v>
      </c>
      <c r="AR6" t="s">
        <v>33</v>
      </c>
      <c r="AS6" t="s">
        <v>7</v>
      </c>
      <c r="AT6" t="s">
        <v>32</v>
      </c>
      <c r="AU6" t="s">
        <v>33</v>
      </c>
      <c r="AV6" t="s">
        <v>7</v>
      </c>
      <c r="AW6" t="s">
        <v>32</v>
      </c>
      <c r="AX6" t="s">
        <v>33</v>
      </c>
    </row>
    <row r="7" spans="2:50" x14ac:dyDescent="0.25">
      <c r="B7" s="132"/>
      <c r="C7" t="s">
        <v>33</v>
      </c>
      <c r="D7" s="49">
        <v>0</v>
      </c>
      <c r="F7" s="49">
        <v>21245</v>
      </c>
      <c r="G7" s="49">
        <v>7000</v>
      </c>
      <c r="H7" s="49">
        <v>0</v>
      </c>
      <c r="I7" s="49">
        <v>203088</v>
      </c>
      <c r="J7" s="49">
        <v>12500</v>
      </c>
      <c r="K7" s="49">
        <v>0</v>
      </c>
      <c r="L7" s="49">
        <v>670509</v>
      </c>
      <c r="M7" s="49">
        <v>130819</v>
      </c>
      <c r="N7" s="49">
        <v>0</v>
      </c>
      <c r="O7" s="49">
        <v>138928.5</v>
      </c>
      <c r="P7" s="49">
        <v>3750</v>
      </c>
      <c r="Q7" s="49">
        <v>0</v>
      </c>
      <c r="R7" s="49">
        <v>65000</v>
      </c>
      <c r="S7" s="49">
        <v>2000</v>
      </c>
      <c r="T7" s="49">
        <v>0</v>
      </c>
      <c r="U7" s="49">
        <v>21175</v>
      </c>
      <c r="V7" s="49">
        <v>96000</v>
      </c>
      <c r="W7" s="49">
        <v>0</v>
      </c>
      <c r="X7" s="49">
        <v>74485</v>
      </c>
      <c r="Y7" s="49">
        <v>6200</v>
      </c>
      <c r="Z7" s="49">
        <v>0</v>
      </c>
      <c r="AA7" s="49">
        <v>1780633</v>
      </c>
      <c r="AB7" s="49">
        <v>351327</v>
      </c>
      <c r="AC7" s="49">
        <v>0</v>
      </c>
      <c r="AD7" s="49">
        <v>13839</v>
      </c>
      <c r="AE7" s="49">
        <v>136845</v>
      </c>
      <c r="AF7" s="49">
        <v>0</v>
      </c>
      <c r="AG7" s="49">
        <v>107175</v>
      </c>
      <c r="AH7" s="49">
        <v>160219</v>
      </c>
      <c r="AI7" s="49">
        <v>0</v>
      </c>
      <c r="AJ7" s="49">
        <v>761228</v>
      </c>
      <c r="AK7" s="49">
        <v>162300</v>
      </c>
      <c r="AL7" s="49">
        <v>36000</v>
      </c>
      <c r="AM7" s="49">
        <v>1043006</v>
      </c>
      <c r="AN7" s="49">
        <v>363150</v>
      </c>
      <c r="AO7" s="49">
        <v>479314</v>
      </c>
      <c r="AP7" s="49">
        <v>401467</v>
      </c>
      <c r="AQ7" s="49">
        <v>126600</v>
      </c>
      <c r="AR7" s="49">
        <v>50000</v>
      </c>
      <c r="AS7" s="49">
        <v>198641</v>
      </c>
      <c r="AT7" s="49">
        <v>54600</v>
      </c>
      <c r="AU7" s="49">
        <v>40000</v>
      </c>
      <c r="AV7" s="49">
        <v>0</v>
      </c>
      <c r="AW7" s="49">
        <v>165460</v>
      </c>
      <c r="AX7" s="49">
        <v>0</v>
      </c>
    </row>
    <row r="8" spans="2:50" x14ac:dyDescent="0.25">
      <c r="B8" s="132" t="s">
        <v>0</v>
      </c>
      <c r="C8" t="s">
        <v>7</v>
      </c>
      <c r="D8" s="49">
        <v>203088</v>
      </c>
    </row>
    <row r="9" spans="2:50" x14ac:dyDescent="0.25">
      <c r="B9" s="132"/>
      <c r="C9" t="s">
        <v>32</v>
      </c>
      <c r="D9" s="49">
        <v>12500</v>
      </c>
    </row>
    <row r="10" spans="2:50" x14ac:dyDescent="0.25">
      <c r="B10" s="132"/>
      <c r="C10" t="s">
        <v>33</v>
      </c>
      <c r="D10" s="49">
        <v>0</v>
      </c>
    </row>
    <row r="11" spans="2:50" x14ac:dyDescent="0.25">
      <c r="B11" s="132" t="s">
        <v>17</v>
      </c>
      <c r="C11" t="s">
        <v>7</v>
      </c>
      <c r="D11" s="49">
        <v>670509</v>
      </c>
    </row>
    <row r="12" spans="2:50" x14ac:dyDescent="0.25">
      <c r="B12" s="132"/>
      <c r="C12" t="s">
        <v>32</v>
      </c>
      <c r="D12" s="49">
        <v>130819</v>
      </c>
    </row>
    <row r="13" spans="2:50" x14ac:dyDescent="0.25">
      <c r="B13" s="132"/>
      <c r="C13" t="s">
        <v>33</v>
      </c>
      <c r="D13" s="49">
        <v>0</v>
      </c>
    </row>
    <row r="14" spans="2:50" x14ac:dyDescent="0.25">
      <c r="B14" s="132" t="s">
        <v>298</v>
      </c>
      <c r="C14" t="s">
        <v>7</v>
      </c>
      <c r="D14" s="49">
        <v>138928.5</v>
      </c>
    </row>
    <row r="15" spans="2:50" x14ac:dyDescent="0.25">
      <c r="B15" s="132"/>
      <c r="C15" t="s">
        <v>32</v>
      </c>
      <c r="D15" s="49">
        <v>3750</v>
      </c>
      <c r="AA15" t="s">
        <v>297</v>
      </c>
      <c r="AB15" s="49">
        <v>28245</v>
      </c>
    </row>
    <row r="16" spans="2:50" x14ac:dyDescent="0.25">
      <c r="B16" s="132"/>
      <c r="C16" t="s">
        <v>33</v>
      </c>
      <c r="D16" s="49">
        <v>0</v>
      </c>
      <c r="AA16" t="s">
        <v>0</v>
      </c>
      <c r="AB16" s="49">
        <v>215588</v>
      </c>
    </row>
    <row r="17" spans="2:28" x14ac:dyDescent="0.25">
      <c r="B17" s="132" t="s">
        <v>299</v>
      </c>
      <c r="C17" t="s">
        <v>7</v>
      </c>
      <c r="D17" s="49">
        <v>65000</v>
      </c>
      <c r="AA17" t="s">
        <v>17</v>
      </c>
      <c r="AB17" s="49">
        <v>801328</v>
      </c>
    </row>
    <row r="18" spans="2:28" x14ac:dyDescent="0.25">
      <c r="B18" s="132"/>
      <c r="C18" t="s">
        <v>32</v>
      </c>
      <c r="D18" s="49">
        <v>2000</v>
      </c>
      <c r="AA18" t="s">
        <v>298</v>
      </c>
      <c r="AB18" s="49">
        <v>142678.5</v>
      </c>
    </row>
    <row r="19" spans="2:28" x14ac:dyDescent="0.25">
      <c r="B19" s="132"/>
      <c r="C19" t="s">
        <v>33</v>
      </c>
      <c r="D19" s="49">
        <v>0</v>
      </c>
      <c r="AA19" t="s">
        <v>299</v>
      </c>
      <c r="AB19" s="49">
        <v>67000</v>
      </c>
    </row>
    <row r="20" spans="2:28" x14ac:dyDescent="0.25">
      <c r="B20" s="132" t="s">
        <v>300</v>
      </c>
      <c r="C20" t="s">
        <v>7</v>
      </c>
      <c r="D20" s="49">
        <v>21175</v>
      </c>
      <c r="AA20" t="s">
        <v>300</v>
      </c>
      <c r="AB20" s="49">
        <v>117175</v>
      </c>
    </row>
    <row r="21" spans="2:28" x14ac:dyDescent="0.25">
      <c r="B21" s="132"/>
      <c r="C21" t="s">
        <v>32</v>
      </c>
      <c r="D21" s="49">
        <v>96000</v>
      </c>
      <c r="AA21" t="s">
        <v>301</v>
      </c>
      <c r="AB21" s="49">
        <v>80685</v>
      </c>
    </row>
    <row r="22" spans="2:28" x14ac:dyDescent="0.25">
      <c r="B22" s="132"/>
      <c r="C22" t="s">
        <v>33</v>
      </c>
      <c r="D22" s="49">
        <v>0</v>
      </c>
      <c r="AA22" t="s">
        <v>302</v>
      </c>
      <c r="AB22" s="49">
        <v>2131960</v>
      </c>
    </row>
    <row r="23" spans="2:28" x14ac:dyDescent="0.25">
      <c r="B23" s="132" t="s">
        <v>301</v>
      </c>
      <c r="C23" t="s">
        <v>7</v>
      </c>
      <c r="D23" s="49">
        <v>74485</v>
      </c>
      <c r="AA23" t="s">
        <v>303</v>
      </c>
      <c r="AB23" s="49">
        <v>150684</v>
      </c>
    </row>
    <row r="24" spans="2:28" x14ac:dyDescent="0.25">
      <c r="B24" s="132"/>
      <c r="C24" t="s">
        <v>32</v>
      </c>
      <c r="D24" s="49">
        <v>6200</v>
      </c>
      <c r="AA24" t="s">
        <v>304</v>
      </c>
      <c r="AB24" s="49">
        <v>267394</v>
      </c>
    </row>
    <row r="25" spans="2:28" x14ac:dyDescent="0.25">
      <c r="B25" s="132"/>
      <c r="C25" t="s">
        <v>33</v>
      </c>
      <c r="D25" s="49">
        <v>0</v>
      </c>
      <c r="AA25" t="s">
        <v>305</v>
      </c>
      <c r="AB25" s="49">
        <v>959528</v>
      </c>
    </row>
    <row r="26" spans="2:28" x14ac:dyDescent="0.25">
      <c r="B26" s="132" t="s">
        <v>302</v>
      </c>
      <c r="C26" t="s">
        <v>7</v>
      </c>
      <c r="D26" s="49">
        <v>1780633</v>
      </c>
      <c r="AA26" t="s">
        <v>306</v>
      </c>
      <c r="AB26" s="49">
        <v>1885470</v>
      </c>
    </row>
    <row r="27" spans="2:28" x14ac:dyDescent="0.25">
      <c r="B27" s="132"/>
      <c r="C27" t="s">
        <v>32</v>
      </c>
      <c r="D27" s="49">
        <v>351327</v>
      </c>
      <c r="AA27" t="s">
        <v>307</v>
      </c>
      <c r="AB27" s="49">
        <v>578067</v>
      </c>
    </row>
    <row r="28" spans="2:28" x14ac:dyDescent="0.25">
      <c r="B28" s="132"/>
      <c r="C28" t="s">
        <v>33</v>
      </c>
      <c r="D28" s="49">
        <v>0</v>
      </c>
      <c r="AA28" t="s">
        <v>308</v>
      </c>
      <c r="AB28" s="49">
        <v>293241</v>
      </c>
    </row>
    <row r="29" spans="2:28" x14ac:dyDescent="0.25">
      <c r="B29" s="132" t="s">
        <v>303</v>
      </c>
      <c r="C29" t="s">
        <v>7</v>
      </c>
      <c r="D29" s="49">
        <v>13839</v>
      </c>
      <c r="AA29" t="s">
        <v>309</v>
      </c>
      <c r="AB29" s="49">
        <v>165460</v>
      </c>
    </row>
    <row r="30" spans="2:28" x14ac:dyDescent="0.25">
      <c r="B30" s="132"/>
      <c r="C30" t="s">
        <v>32</v>
      </c>
      <c r="D30" s="49">
        <v>136845</v>
      </c>
    </row>
    <row r="31" spans="2:28" x14ac:dyDescent="0.25">
      <c r="B31" s="132"/>
      <c r="C31" t="s">
        <v>33</v>
      </c>
      <c r="D31" s="49">
        <v>0</v>
      </c>
    </row>
    <row r="32" spans="2:28" x14ac:dyDescent="0.25">
      <c r="B32" s="132" t="s">
        <v>304</v>
      </c>
      <c r="C32" t="s">
        <v>7</v>
      </c>
      <c r="D32" s="49">
        <v>107175</v>
      </c>
    </row>
    <row r="33" spans="2:4" x14ac:dyDescent="0.25">
      <c r="B33" s="132"/>
      <c r="C33" t="s">
        <v>32</v>
      </c>
      <c r="D33" s="49">
        <v>160219</v>
      </c>
    </row>
    <row r="34" spans="2:4" x14ac:dyDescent="0.25">
      <c r="B34" s="132"/>
      <c r="C34" t="s">
        <v>33</v>
      </c>
      <c r="D34" s="49">
        <v>0</v>
      </c>
    </row>
    <row r="35" spans="2:4" x14ac:dyDescent="0.25">
      <c r="B35" s="132" t="s">
        <v>305</v>
      </c>
      <c r="C35" t="s">
        <v>7</v>
      </c>
      <c r="D35" s="49">
        <v>761228</v>
      </c>
    </row>
    <row r="36" spans="2:4" x14ac:dyDescent="0.25">
      <c r="B36" s="132"/>
      <c r="C36" t="s">
        <v>32</v>
      </c>
      <c r="D36" s="49">
        <v>162300</v>
      </c>
    </row>
    <row r="37" spans="2:4" x14ac:dyDescent="0.25">
      <c r="B37" s="132"/>
      <c r="C37" t="s">
        <v>33</v>
      </c>
      <c r="D37" s="49">
        <v>36000</v>
      </c>
    </row>
    <row r="38" spans="2:4" x14ac:dyDescent="0.25">
      <c r="B38" s="132" t="s">
        <v>306</v>
      </c>
      <c r="C38" t="s">
        <v>7</v>
      </c>
      <c r="D38" s="49">
        <v>1043006</v>
      </c>
    </row>
    <row r="39" spans="2:4" x14ac:dyDescent="0.25">
      <c r="B39" s="132"/>
      <c r="C39" t="s">
        <v>32</v>
      </c>
      <c r="D39" s="49">
        <v>363150</v>
      </c>
    </row>
    <row r="40" spans="2:4" x14ac:dyDescent="0.25">
      <c r="B40" s="132"/>
      <c r="C40" t="s">
        <v>33</v>
      </c>
      <c r="D40" s="49">
        <v>479314</v>
      </c>
    </row>
    <row r="41" spans="2:4" x14ac:dyDescent="0.25">
      <c r="B41" s="132" t="s">
        <v>307</v>
      </c>
      <c r="C41" t="s">
        <v>7</v>
      </c>
      <c r="D41" s="49">
        <v>401467</v>
      </c>
    </row>
    <row r="42" spans="2:4" x14ac:dyDescent="0.25">
      <c r="B42" s="132"/>
      <c r="C42" t="s">
        <v>32</v>
      </c>
      <c r="D42" s="49">
        <v>126600</v>
      </c>
    </row>
    <row r="43" spans="2:4" x14ac:dyDescent="0.25">
      <c r="B43" s="132"/>
      <c r="C43" t="s">
        <v>33</v>
      </c>
      <c r="D43" s="49">
        <v>50000</v>
      </c>
    </row>
    <row r="44" spans="2:4" x14ac:dyDescent="0.25">
      <c r="B44" s="132" t="s">
        <v>308</v>
      </c>
      <c r="C44" t="s">
        <v>7</v>
      </c>
      <c r="D44" s="49">
        <v>198641</v>
      </c>
    </row>
    <row r="45" spans="2:4" x14ac:dyDescent="0.25">
      <c r="B45" s="132"/>
      <c r="C45" t="s">
        <v>32</v>
      </c>
      <c r="D45" s="49">
        <v>54600</v>
      </c>
    </row>
    <row r="46" spans="2:4" x14ac:dyDescent="0.25">
      <c r="B46" s="132"/>
      <c r="C46" t="s">
        <v>33</v>
      </c>
      <c r="D46" s="49">
        <v>40000</v>
      </c>
    </row>
    <row r="47" spans="2:4" x14ac:dyDescent="0.25">
      <c r="B47" s="132" t="s">
        <v>309</v>
      </c>
      <c r="C47" t="s">
        <v>7</v>
      </c>
      <c r="D47" s="49">
        <v>0</v>
      </c>
    </row>
    <row r="48" spans="2:4" x14ac:dyDescent="0.25">
      <c r="B48" s="132"/>
      <c r="C48" t="s">
        <v>32</v>
      </c>
      <c r="D48" s="49">
        <v>165460</v>
      </c>
    </row>
    <row r="49" spans="2:4" x14ac:dyDescent="0.25">
      <c r="B49" s="132"/>
      <c r="C49" t="s">
        <v>33</v>
      </c>
      <c r="D49" s="49">
        <v>0</v>
      </c>
    </row>
    <row r="50" spans="2:4" x14ac:dyDescent="0.25">
      <c r="D50" t="s">
        <v>215</v>
      </c>
    </row>
  </sheetData>
  <mergeCells count="30">
    <mergeCell ref="AV5:AX5"/>
    <mergeCell ref="AG5:AI5"/>
    <mergeCell ref="AJ5:AL5"/>
    <mergeCell ref="AM5:AO5"/>
    <mergeCell ref="AP5:AR5"/>
    <mergeCell ref="AS5:AU5"/>
    <mergeCell ref="B44:B46"/>
    <mergeCell ref="B47:B49"/>
    <mergeCell ref="F5:H5"/>
    <mergeCell ref="I5:K5"/>
    <mergeCell ref="L5:N5"/>
    <mergeCell ref="B23:B25"/>
    <mergeCell ref="B26:B28"/>
    <mergeCell ref="B29:B31"/>
    <mergeCell ref="B32:B34"/>
    <mergeCell ref="B35:B37"/>
    <mergeCell ref="B38:B40"/>
    <mergeCell ref="B5:B7"/>
    <mergeCell ref="B8:B10"/>
    <mergeCell ref="B11:B13"/>
    <mergeCell ref="B14:B16"/>
    <mergeCell ref="B17:B19"/>
    <mergeCell ref="B20:B22"/>
    <mergeCell ref="AD5:AF5"/>
    <mergeCell ref="B41:B43"/>
    <mergeCell ref="O5:Q5"/>
    <mergeCell ref="R5:T5"/>
    <mergeCell ref="U5:W5"/>
    <mergeCell ref="X5:Z5"/>
    <mergeCell ref="AA5:AC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29B7-3025-4460-AABA-BE819811CC8B}">
  <sheetPr>
    <pageSetUpPr fitToPage="1"/>
  </sheetPr>
  <dimension ref="A1:I48"/>
  <sheetViews>
    <sheetView workbookViewId="0">
      <selection sqref="A1:F1"/>
    </sheetView>
  </sheetViews>
  <sheetFormatPr defaultColWidth="9.140625" defaultRowHeight="15" x14ac:dyDescent="0.2"/>
  <cols>
    <col min="1" max="1" width="47" style="2" customWidth="1"/>
    <col min="2" max="6" width="21" style="2" customWidth="1"/>
    <col min="7" max="7" width="43.42578125" style="2" customWidth="1"/>
    <col min="8" max="8" width="16.28515625" style="2" bestFit="1" customWidth="1"/>
    <col min="9" max="9" width="9.7109375" style="2" bestFit="1" customWidth="1"/>
    <col min="10" max="10" width="9.140625" style="2"/>
    <col min="11" max="11" width="12.7109375" style="2" bestFit="1" customWidth="1"/>
    <col min="12" max="16384" width="9.140625" style="2"/>
  </cols>
  <sheetData>
    <row r="1" spans="1:6" ht="18" x14ac:dyDescent="0.25">
      <c r="A1" s="180" t="s">
        <v>447</v>
      </c>
      <c r="B1" s="180"/>
      <c r="C1" s="180"/>
      <c r="D1" s="180"/>
      <c r="E1" s="180"/>
      <c r="F1" s="180"/>
    </row>
    <row r="2" spans="1:6" ht="56.25" customHeight="1" x14ac:dyDescent="0.2">
      <c r="A2" s="177" t="s">
        <v>446</v>
      </c>
      <c r="B2" s="178"/>
      <c r="C2" s="178"/>
      <c r="D2" s="178"/>
      <c r="E2" s="178"/>
      <c r="F2" s="179"/>
    </row>
    <row r="3" spans="1:6" ht="15.75" x14ac:dyDescent="0.25">
      <c r="A3" s="184"/>
      <c r="B3" s="175"/>
      <c r="C3" s="175"/>
      <c r="D3" s="175"/>
      <c r="E3" s="175"/>
      <c r="F3" s="176"/>
    </row>
    <row r="4" spans="1:6" ht="31.5" x14ac:dyDescent="0.2">
      <c r="A4" s="124" t="s">
        <v>2</v>
      </c>
      <c r="B4" s="124" t="s">
        <v>6</v>
      </c>
      <c r="C4" s="124" t="s">
        <v>5</v>
      </c>
      <c r="D4" s="124" t="s">
        <v>350</v>
      </c>
      <c r="E4" s="124" t="s">
        <v>349</v>
      </c>
      <c r="F4" s="124" t="s">
        <v>358</v>
      </c>
    </row>
    <row r="5" spans="1:6" ht="15.75" x14ac:dyDescent="0.25">
      <c r="A5" s="40" t="s">
        <v>52</v>
      </c>
      <c r="B5" s="41">
        <f>SUM('GF REV'!C6:C13)</f>
        <v>631585.15</v>
      </c>
      <c r="C5" s="41">
        <f>SUM('GF REV'!D6:D13)</f>
        <v>596631.57999999996</v>
      </c>
      <c r="D5" s="41">
        <f>SUM('GF REV'!E6:E13)</f>
        <v>585032.46000000008</v>
      </c>
      <c r="E5" s="41">
        <f>SUM('GF REV'!F6:F13)</f>
        <v>629000</v>
      </c>
      <c r="F5" s="41">
        <f>SUM('GF REV'!G6:G13)</f>
        <v>612999</v>
      </c>
    </row>
    <row r="6" spans="1:6" ht="15.75" x14ac:dyDescent="0.25">
      <c r="A6" s="4" t="s">
        <v>448</v>
      </c>
      <c r="B6" s="6">
        <f>SUM('GF REV'!C14:C24)</f>
        <v>1992319.8599999999</v>
      </c>
      <c r="C6" s="6">
        <f>SUM('GF REV'!D14:D24)</f>
        <v>2154745.4800000004</v>
      </c>
      <c r="D6" s="6">
        <f>SUM('GF REV'!E14:E24)</f>
        <v>2181138.2600000002</v>
      </c>
      <c r="E6" s="6">
        <f>SUM('GF REV'!F14:F24)</f>
        <v>2099000</v>
      </c>
      <c r="F6" s="6">
        <f>SUM('GF REV'!G14:G24)</f>
        <v>2250300</v>
      </c>
    </row>
    <row r="7" spans="1:6" ht="15.75" x14ac:dyDescent="0.25">
      <c r="A7" s="4" t="s">
        <v>449</v>
      </c>
      <c r="B7" s="6">
        <f>SUM('GF REV'!C33:C35)</f>
        <v>1010296.6699999999</v>
      </c>
      <c r="C7" s="6">
        <f>SUM('GF REV'!D33:D35)</f>
        <v>1075782.8600000001</v>
      </c>
      <c r="D7" s="6">
        <f>SUM('GF REV'!E33:E35)</f>
        <v>1224942.54</v>
      </c>
      <c r="E7" s="6">
        <f>SUM('GF REV'!F33:F35)</f>
        <v>1076000</v>
      </c>
      <c r="F7" s="6">
        <f>SUM('GF REV'!G33:G35)</f>
        <v>1324752.56</v>
      </c>
    </row>
    <row r="8" spans="1:6" ht="15.75" x14ac:dyDescent="0.25">
      <c r="A8" s="4" t="s">
        <v>450</v>
      </c>
      <c r="B8" s="6">
        <f>'GF REV'!C48</f>
        <v>519844.45</v>
      </c>
      <c r="C8" s="6">
        <f>'GF REV'!D48</f>
        <v>518002.47</v>
      </c>
      <c r="D8" s="6">
        <f>'GF REV'!E48</f>
        <v>516997</v>
      </c>
      <c r="E8" s="6">
        <f>'GF REV'!F48</f>
        <v>655000</v>
      </c>
      <c r="F8" s="6">
        <f>'GF REV'!G48</f>
        <v>655000</v>
      </c>
    </row>
    <row r="9" spans="1:6" ht="15.75" x14ac:dyDescent="0.25">
      <c r="A9" s="4" t="s">
        <v>451</v>
      </c>
      <c r="B9" s="6">
        <f>SUM('GF REV'!C65:C70)</f>
        <v>1632138.02</v>
      </c>
      <c r="C9" s="6">
        <f>SUM('GF REV'!D65:D70)</f>
        <v>1822951.33</v>
      </c>
      <c r="D9" s="6">
        <f>SUM('GF REV'!E65:E70)</f>
        <v>1980492.23</v>
      </c>
      <c r="E9" s="6">
        <f>SUM('GF REV'!F65:F70)</f>
        <v>2079717</v>
      </c>
      <c r="F9" s="6">
        <f>SUM('GF REV'!G65:G70)</f>
        <v>2063717</v>
      </c>
    </row>
    <row r="10" spans="1:6" ht="15.75" x14ac:dyDescent="0.25">
      <c r="A10" s="4" t="s">
        <v>452</v>
      </c>
      <c r="B10" s="6">
        <f>'GF REV'!C84-SUM(Synopsis!B5:B9)</f>
        <v>1412619.7400000012</v>
      </c>
      <c r="C10" s="6">
        <f>'GF REV'!D84-SUM(Synopsis!C5:C9)</f>
        <v>4100280.0399999972</v>
      </c>
      <c r="D10" s="6">
        <f>'GF REV'!E84-SUM(Synopsis!D5:D9)</f>
        <v>1745048.9400000004</v>
      </c>
      <c r="E10" s="6">
        <f>'GF REV'!F84-SUM(Synopsis!E5:E9)</f>
        <v>1345787</v>
      </c>
      <c r="F10" s="6">
        <f>'GF REV'!G84-SUM(Synopsis!F5:F9)</f>
        <v>1524628</v>
      </c>
    </row>
    <row r="11" spans="1:6" ht="15.75" x14ac:dyDescent="0.25">
      <c r="A11" s="4"/>
      <c r="B11" s="6"/>
      <c r="C11" s="6"/>
      <c r="D11" s="6"/>
      <c r="E11" s="6"/>
      <c r="F11" s="6"/>
    </row>
    <row r="12" spans="1:6" ht="15.75" x14ac:dyDescent="0.25">
      <c r="A12" s="54" t="s">
        <v>318</v>
      </c>
      <c r="B12" s="125">
        <f>SUM(B5:B10)</f>
        <v>7198803.8900000015</v>
      </c>
      <c r="C12" s="125">
        <f t="shared" ref="C12:F12" si="0">SUM(C5:C10)</f>
        <v>10268393.759999998</v>
      </c>
      <c r="D12" s="125">
        <f t="shared" si="0"/>
        <v>8233651.4300000006</v>
      </c>
      <c r="E12" s="125">
        <f t="shared" si="0"/>
        <v>7884504</v>
      </c>
      <c r="F12" s="125">
        <f t="shared" si="0"/>
        <v>8431396.5600000005</v>
      </c>
    </row>
    <row r="13" spans="1:6" ht="15.75" x14ac:dyDescent="0.25">
      <c r="A13" s="54"/>
      <c r="B13" s="126"/>
      <c r="C13" s="126"/>
      <c r="D13" s="126"/>
      <c r="E13" s="126"/>
      <c r="F13" s="126"/>
    </row>
    <row r="14" spans="1:6" ht="15.75" x14ac:dyDescent="0.25">
      <c r="A14" s="54" t="s">
        <v>453</v>
      </c>
      <c r="B14" s="126">
        <f>'W&amp;S Revenue'!C19</f>
        <v>1337224.9100000001</v>
      </c>
      <c r="C14" s="126">
        <f>'W&amp;S Revenue'!D19</f>
        <v>1356039.91</v>
      </c>
      <c r="D14" s="126">
        <f>'W&amp;S Revenue'!E19</f>
        <v>1383216</v>
      </c>
      <c r="E14" s="126">
        <f>'W&amp;S Revenue'!F19</f>
        <v>1817146</v>
      </c>
      <c r="F14" s="126">
        <f>'W&amp;S Revenue'!G19</f>
        <v>2769205.9941942454</v>
      </c>
    </row>
    <row r="15" spans="1:6" ht="15.75" x14ac:dyDescent="0.25">
      <c r="A15" s="54"/>
      <c r="B15" s="126"/>
      <c r="C15" s="126"/>
      <c r="D15" s="126"/>
      <c r="E15" s="126"/>
      <c r="F15" s="126"/>
    </row>
    <row r="16" spans="1:6" ht="15.75" x14ac:dyDescent="0.25">
      <c r="A16" s="54" t="s">
        <v>454</v>
      </c>
      <c r="B16" s="126">
        <f>'W&amp;S Revenue'!C54</f>
        <v>1339391.3499999999</v>
      </c>
      <c r="C16" s="126">
        <f>'W&amp;S Revenue'!D54</f>
        <v>1376781.72</v>
      </c>
      <c r="D16" s="126">
        <f>'W&amp;S Revenue'!E54</f>
        <v>1563457</v>
      </c>
      <c r="E16" s="126">
        <f>'W&amp;S Revenue'!F54</f>
        <v>1898350</v>
      </c>
      <c r="F16" s="126">
        <f>'W&amp;S Revenue'!G54</f>
        <v>2295330.2820599983</v>
      </c>
    </row>
    <row r="17" spans="1:6" ht="15.75" x14ac:dyDescent="0.25">
      <c r="A17" s="54"/>
      <c r="B17" s="29"/>
      <c r="C17" s="29"/>
      <c r="D17" s="29"/>
      <c r="E17" s="29"/>
      <c r="F17" s="29"/>
    </row>
    <row r="18" spans="1:6" ht="15.75" x14ac:dyDescent="0.25">
      <c r="A18" s="54" t="s">
        <v>455</v>
      </c>
      <c r="B18" s="126">
        <f>'Electric REV'!C14</f>
        <v>7367806.3600000003</v>
      </c>
      <c r="C18" s="126">
        <f>'Electric REV'!D14</f>
        <v>7070940.6200000001</v>
      </c>
      <c r="D18" s="126">
        <f>'Electric REV'!E14</f>
        <v>6631168</v>
      </c>
      <c r="E18" s="126">
        <f>'Electric REV'!F14</f>
        <v>7264000</v>
      </c>
      <c r="F18" s="126">
        <f>'Electric REV'!G14</f>
        <v>9856816.6383999996</v>
      </c>
    </row>
    <row r="19" spans="1:6" ht="15.75" x14ac:dyDescent="0.25">
      <c r="A19" s="54"/>
      <c r="B19" s="29"/>
      <c r="C19" s="29"/>
      <c r="D19" s="29"/>
      <c r="E19" s="29"/>
      <c r="F19" s="29"/>
    </row>
    <row r="20" spans="1:6" ht="15.75" x14ac:dyDescent="0.25">
      <c r="A20" s="54" t="s">
        <v>326</v>
      </c>
      <c r="B20" s="44">
        <f>SUM(B12:B18)</f>
        <v>17243226.510000002</v>
      </c>
      <c r="C20" s="44">
        <f t="shared" ref="C20:F20" si="1">SUM(C12:C18)</f>
        <v>20072156.009999998</v>
      </c>
      <c r="D20" s="44">
        <f t="shared" si="1"/>
        <v>17811492.43</v>
      </c>
      <c r="E20" s="44">
        <f t="shared" si="1"/>
        <v>18864000</v>
      </c>
      <c r="F20" s="44">
        <f t="shared" si="1"/>
        <v>23352749.474654242</v>
      </c>
    </row>
    <row r="21" spans="1:6" ht="15.75" x14ac:dyDescent="0.25">
      <c r="A21" s="174"/>
      <c r="B21" s="175"/>
      <c r="C21" s="175"/>
      <c r="D21" s="175"/>
      <c r="E21" s="175"/>
      <c r="F21" s="176"/>
    </row>
    <row r="22" spans="1:6" ht="56.25" customHeight="1" x14ac:dyDescent="0.2">
      <c r="A22" s="181" t="s">
        <v>327</v>
      </c>
      <c r="B22" s="182"/>
      <c r="C22" s="182"/>
      <c r="D22" s="182"/>
      <c r="E22" s="182"/>
      <c r="F22" s="183"/>
    </row>
    <row r="23" spans="1:6" ht="15.75" x14ac:dyDescent="0.25">
      <c r="A23" s="184"/>
      <c r="B23" s="175"/>
      <c r="C23" s="175"/>
      <c r="D23" s="175"/>
      <c r="E23" s="175"/>
      <c r="F23" s="176"/>
    </row>
    <row r="24" spans="1:6" ht="31.5" x14ac:dyDescent="0.2">
      <c r="A24" s="124" t="s">
        <v>2</v>
      </c>
      <c r="B24" s="124" t="s">
        <v>6</v>
      </c>
      <c r="C24" s="124" t="s">
        <v>5</v>
      </c>
      <c r="D24" s="124" t="s">
        <v>350</v>
      </c>
      <c r="E24" s="124" t="s">
        <v>349</v>
      </c>
      <c r="F24" s="124" t="s">
        <v>357</v>
      </c>
    </row>
    <row r="25" spans="1:6" ht="15.75" x14ac:dyDescent="0.25">
      <c r="A25" s="4" t="s">
        <v>319</v>
      </c>
      <c r="B25" s="6">
        <f>'Balancing Sheet'!C3-SUM(Synopsis!B26:B29)</f>
        <v>1213896.7699999996</v>
      </c>
      <c r="C25" s="6">
        <f>'Balancing Sheet'!E3-SUM(Synopsis!C26:C29)</f>
        <v>1201243.54</v>
      </c>
      <c r="D25" s="6">
        <f>'Balancing Sheet'!G3-SUM(Synopsis!D26:D29)</f>
        <v>1443592.6699999981</v>
      </c>
      <c r="E25" s="6">
        <f>'Balancing Sheet'!I3-SUM(Synopsis!E26:E29)</f>
        <v>1437699.5</v>
      </c>
      <c r="F25" s="6">
        <f>'Balancing Sheet'!K3-SUM(Synopsis!F26:F29)</f>
        <v>1598197.3940000003</v>
      </c>
    </row>
    <row r="26" spans="1:6" ht="15.75" x14ac:dyDescent="0.25">
      <c r="A26" s="4" t="s">
        <v>320</v>
      </c>
      <c r="B26" s="6">
        <f>RPD!C59+Rescue!C54+RFD!C50+'Narc TF'!C29</f>
        <v>3422459.74</v>
      </c>
      <c r="C26" s="6">
        <f>RPD!D59+Rescue!D54+RFD!D50+'Narc TF'!D29</f>
        <v>3354631.6300000004</v>
      </c>
      <c r="D26" s="6">
        <f>RPD!E59+Rescue!E54+RFD!E50+'Narc TF'!E29</f>
        <v>3828436.8300000005</v>
      </c>
      <c r="E26" s="6">
        <f>RPD!F59+Rescue!F54+RFD!F50+'Narc TF'!F29</f>
        <v>3530316</v>
      </c>
      <c r="F26" s="6">
        <f>RPD!G59+Rescue!G54+RFD!G50+'Narc TF'!G29</f>
        <v>3942905.6253983607</v>
      </c>
    </row>
    <row r="27" spans="1:6" ht="15.75" x14ac:dyDescent="0.25">
      <c r="A27" s="4" t="s">
        <v>329</v>
      </c>
      <c r="B27" s="6">
        <f>Parks!C52</f>
        <v>243849.83</v>
      </c>
      <c r="C27" s="6">
        <f>Parks!D52</f>
        <v>280624.32999999996</v>
      </c>
      <c r="D27" s="6">
        <f>Parks!E52</f>
        <v>281678.80000000005</v>
      </c>
      <c r="E27" s="6">
        <f>Parks!F52</f>
        <v>293241</v>
      </c>
      <c r="F27" s="6">
        <f>Parks!G52</f>
        <v>262325.04500000004</v>
      </c>
    </row>
    <row r="28" spans="1:6" ht="15.75" x14ac:dyDescent="0.25">
      <c r="A28" s="4" t="s">
        <v>321</v>
      </c>
      <c r="B28" s="6">
        <f>Streets!C55+Sanitation!C36</f>
        <v>1537304.0099999998</v>
      </c>
      <c r="C28" s="6">
        <f>Streets!D55+Sanitation!D36</f>
        <v>1891862.0699999998</v>
      </c>
      <c r="D28" s="6">
        <f>Streets!E55+Sanitation!E36</f>
        <v>2784725.58</v>
      </c>
      <c r="E28" s="6">
        <f>Streets!F55+Sanitation!F36</f>
        <v>2455458</v>
      </c>
      <c r="F28" s="6">
        <f>Streets!G55+Sanitation!G36</f>
        <v>2450367.9979999997</v>
      </c>
    </row>
    <row r="29" spans="1:6" ht="15.75" x14ac:dyDescent="0.25">
      <c r="A29" s="4" t="s">
        <v>322</v>
      </c>
      <c r="B29" s="6">
        <f>'Non-D'!C33</f>
        <v>147398.56</v>
      </c>
      <c r="C29" s="6">
        <f>'Non-D'!D33</f>
        <v>103473.9</v>
      </c>
      <c r="D29" s="6">
        <f>'Non-D'!E33</f>
        <v>147696</v>
      </c>
      <c r="E29" s="6">
        <f>'Non-D'!F33</f>
        <v>168034.73</v>
      </c>
      <c r="F29" s="6">
        <f>'Non-D'!G33</f>
        <v>177600</v>
      </c>
    </row>
    <row r="30" spans="1:6" ht="15.75" x14ac:dyDescent="0.25">
      <c r="A30" s="4"/>
      <c r="B30" s="6"/>
      <c r="C30" s="6"/>
      <c r="D30" s="6"/>
      <c r="E30" s="6"/>
      <c r="F30" s="6"/>
    </row>
    <row r="31" spans="1:6" ht="15.75" x14ac:dyDescent="0.25">
      <c r="A31" s="4" t="s">
        <v>318</v>
      </c>
      <c r="B31" s="6">
        <f>SUM(B25:B29)</f>
        <v>6564908.9099999992</v>
      </c>
      <c r="C31" s="6">
        <f t="shared" ref="C31:F31" si="2">SUM(C25:C29)</f>
        <v>6831835.4700000007</v>
      </c>
      <c r="D31" s="6">
        <f t="shared" si="2"/>
        <v>8486129.879999999</v>
      </c>
      <c r="E31" s="6">
        <f t="shared" si="2"/>
        <v>7884749.2300000004</v>
      </c>
      <c r="F31" s="6">
        <f t="shared" si="2"/>
        <v>8431396.062398361</v>
      </c>
    </row>
    <row r="32" spans="1:6" ht="15.75" x14ac:dyDescent="0.25">
      <c r="A32" s="4"/>
      <c r="B32" s="6"/>
      <c r="C32" s="6"/>
      <c r="D32" s="6"/>
      <c r="E32" s="6"/>
      <c r="F32" s="6"/>
    </row>
    <row r="33" spans="1:9" ht="15.75" x14ac:dyDescent="0.25">
      <c r="A33" s="4" t="s">
        <v>324</v>
      </c>
      <c r="B33" s="6">
        <f>'WA TR PL'!C62</f>
        <v>1255796.0300000003</v>
      </c>
      <c r="C33" s="6">
        <f>'WA TR PL'!D62</f>
        <v>1154230.76</v>
      </c>
      <c r="D33" s="6">
        <f>'WA TR PL'!E62</f>
        <v>1518376.75</v>
      </c>
      <c r="E33" s="6">
        <f>'WA TR PL'!F62</f>
        <v>1452376</v>
      </c>
      <c r="F33" s="6">
        <f>'WA TR PL'!G62</f>
        <v>2007152.8870000001</v>
      </c>
    </row>
    <row r="34" spans="1:9" ht="15.75" x14ac:dyDescent="0.25">
      <c r="A34" s="4"/>
      <c r="B34" s="6"/>
      <c r="C34" s="6"/>
      <c r="D34" s="6"/>
      <c r="E34" s="6"/>
      <c r="F34" s="6"/>
    </row>
    <row r="35" spans="1:9" ht="15.75" x14ac:dyDescent="0.25">
      <c r="A35" s="4" t="s">
        <v>325</v>
      </c>
      <c r="B35" s="6">
        <f>'WW TR PL'!C66</f>
        <v>1173839.21</v>
      </c>
      <c r="C35" s="6">
        <f>'WW TR PL'!D66</f>
        <v>1138871.8699999999</v>
      </c>
      <c r="D35" s="6">
        <f>'WW TR PL'!E66</f>
        <v>1293858.93</v>
      </c>
      <c r="E35" s="6">
        <f>'WW TR PL'!F66</f>
        <v>1614024</v>
      </c>
      <c r="F35" s="6">
        <f>'WW TR PL'!G66</f>
        <v>2209541.8160000001</v>
      </c>
    </row>
    <row r="36" spans="1:9" ht="15.75" x14ac:dyDescent="0.25">
      <c r="A36" s="4"/>
      <c r="B36" s="6"/>
      <c r="C36" s="6"/>
      <c r="D36" s="6"/>
      <c r="E36" s="6"/>
      <c r="F36" s="6"/>
    </row>
    <row r="37" spans="1:9" ht="15.75" x14ac:dyDescent="0.25">
      <c r="A37" s="4" t="s">
        <v>328</v>
      </c>
      <c r="B37" s="6">
        <f>'W&amp;S LINE'!C56</f>
        <v>414174.94</v>
      </c>
      <c r="C37" s="6">
        <f>'W&amp;S LINE'!D56</f>
        <v>428906.48</v>
      </c>
      <c r="D37" s="6">
        <f>'W&amp;S LINE'!E56</f>
        <v>399892</v>
      </c>
      <c r="E37" s="6">
        <f>'W&amp;S LINE'!F56</f>
        <v>649096</v>
      </c>
      <c r="F37" s="6">
        <f>'W&amp;S LINE'!G56</f>
        <v>716657.08</v>
      </c>
    </row>
    <row r="38" spans="1:9" ht="15.75" x14ac:dyDescent="0.25">
      <c r="A38" s="4"/>
      <c r="B38" s="6"/>
      <c r="C38" s="6"/>
      <c r="D38" s="6"/>
      <c r="E38" s="6"/>
      <c r="F38" s="6"/>
    </row>
    <row r="39" spans="1:9" ht="15.75" x14ac:dyDescent="0.25">
      <c r="A39" s="4" t="s">
        <v>323</v>
      </c>
      <c r="B39" s="6">
        <f>'Electric Dep'!C72</f>
        <v>5877824.0199999996</v>
      </c>
      <c r="C39" s="6">
        <f>'Electric Dep'!D72</f>
        <v>6507209.4099999992</v>
      </c>
      <c r="D39" s="6">
        <f>'Electric Dep'!E72</f>
        <v>7302369.9900000002</v>
      </c>
      <c r="E39" s="6">
        <f>'Electric Dep'!F72</f>
        <v>7264000</v>
      </c>
      <c r="F39" s="6">
        <f>'Electric Dep'!G72</f>
        <v>9856817.0999999996</v>
      </c>
    </row>
    <row r="40" spans="1:9" ht="15.75" x14ac:dyDescent="0.25">
      <c r="A40" s="4"/>
      <c r="B40" s="6"/>
      <c r="C40" s="6"/>
      <c r="D40" s="6"/>
      <c r="E40" s="6"/>
      <c r="F40" s="6"/>
    </row>
    <row r="41" spans="1:9" ht="15.75" x14ac:dyDescent="0.25">
      <c r="A41" s="4" t="s">
        <v>326</v>
      </c>
      <c r="B41" s="6">
        <f>SUM(B31:B39)</f>
        <v>15286543.109999998</v>
      </c>
      <c r="C41" s="6">
        <f t="shared" ref="C41:F41" si="3">SUM(C31:C39)</f>
        <v>16061053.989999998</v>
      </c>
      <c r="D41" s="6">
        <f t="shared" si="3"/>
        <v>19000627.549999997</v>
      </c>
      <c r="E41" s="6">
        <f t="shared" si="3"/>
        <v>18864245.23</v>
      </c>
      <c r="F41" s="6">
        <f t="shared" si="3"/>
        <v>23221564.94539836</v>
      </c>
      <c r="G41" s="37"/>
    </row>
    <row r="42" spans="1:9" ht="15.75" x14ac:dyDescent="0.25">
      <c r="A42" s="171"/>
      <c r="B42" s="172"/>
      <c r="C42" s="172"/>
      <c r="D42" s="172"/>
      <c r="E42" s="172"/>
      <c r="F42" s="173"/>
      <c r="I42" s="37" t="s">
        <v>215</v>
      </c>
    </row>
    <row r="47" spans="1:9" x14ac:dyDescent="0.2">
      <c r="F47" s="110"/>
      <c r="H47" s="110"/>
    </row>
    <row r="48" spans="1:9" x14ac:dyDescent="0.2">
      <c r="F48" s="110"/>
    </row>
  </sheetData>
  <mergeCells count="7">
    <mergeCell ref="A42:F42"/>
    <mergeCell ref="A21:F21"/>
    <mergeCell ref="A2:F2"/>
    <mergeCell ref="A1:F1"/>
    <mergeCell ref="A22:F22"/>
    <mergeCell ref="A23:F23"/>
    <mergeCell ref="A3:F3"/>
  </mergeCells>
  <printOptions horizontalCentered="1" verticalCentered="1"/>
  <pageMargins left="0.7" right="0.7" top="0.75" bottom="0.75" header="0.3" footer="0.3"/>
  <pageSetup scale="6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5EBC-FC9A-45B9-A6A1-DA8132183894}">
  <dimension ref="A2:M18"/>
  <sheetViews>
    <sheetView workbookViewId="0">
      <selection activeCell="L14" sqref="L14:M18"/>
    </sheetView>
  </sheetViews>
  <sheetFormatPr defaultRowHeight="15" x14ac:dyDescent="0.25"/>
  <cols>
    <col min="1" max="1" width="27.85546875" customWidth="1"/>
    <col min="2" max="5" width="12.7109375" customWidth="1"/>
    <col min="12" max="13" width="32" customWidth="1"/>
  </cols>
  <sheetData>
    <row r="2" spans="1:13" ht="47.25" x14ac:dyDescent="0.25">
      <c r="A2" s="13"/>
      <c r="B2" s="19" t="s">
        <v>41</v>
      </c>
      <c r="C2" s="19" t="s">
        <v>5</v>
      </c>
      <c r="D2" s="19" t="s">
        <v>4</v>
      </c>
      <c r="E2" s="19" t="s">
        <v>42</v>
      </c>
    </row>
    <row r="3" spans="1:13" ht="15.75" x14ac:dyDescent="0.25">
      <c r="A3" s="20" t="s">
        <v>31</v>
      </c>
      <c r="B3" s="14"/>
      <c r="C3" s="14"/>
      <c r="D3" s="14"/>
      <c r="E3" s="14"/>
    </row>
    <row r="4" spans="1:13" ht="15.75" x14ac:dyDescent="0.25">
      <c r="A4" s="15" t="s">
        <v>7</v>
      </c>
      <c r="B4" s="18"/>
      <c r="C4" s="18"/>
      <c r="D4" s="18"/>
      <c r="E4" s="18"/>
    </row>
    <row r="5" spans="1:13" ht="15.75" x14ac:dyDescent="0.25">
      <c r="A5" s="15" t="s">
        <v>32</v>
      </c>
      <c r="B5" s="18"/>
      <c r="C5" s="18"/>
      <c r="D5" s="18"/>
      <c r="E5" s="18"/>
    </row>
    <row r="6" spans="1:13" ht="15.75" x14ac:dyDescent="0.25">
      <c r="A6" s="15" t="s">
        <v>33</v>
      </c>
      <c r="B6" s="18"/>
      <c r="C6" s="18"/>
      <c r="D6" s="18"/>
      <c r="E6" s="18"/>
    </row>
    <row r="7" spans="1:13" ht="15.75" x14ac:dyDescent="0.25">
      <c r="A7" s="17" t="s">
        <v>34</v>
      </c>
      <c r="B7" s="18">
        <f>SUM(B4:B6)</f>
        <v>0</v>
      </c>
      <c r="C7" s="18">
        <f>SUM(C4:C6)</f>
        <v>0</v>
      </c>
      <c r="D7" s="18">
        <f>SUM(D4:D6)</f>
        <v>0</v>
      </c>
      <c r="E7" s="18">
        <f>SUM(E4:E6)</f>
        <v>0</v>
      </c>
    </row>
    <row r="8" spans="1:13" ht="15.75" x14ac:dyDescent="0.25">
      <c r="A8" s="20" t="s">
        <v>35</v>
      </c>
      <c r="B8" s="14"/>
      <c r="C8" s="14"/>
      <c r="D8" s="14"/>
      <c r="E8" s="14"/>
    </row>
    <row r="9" spans="1:13" ht="15.75" x14ac:dyDescent="0.25">
      <c r="A9" s="15" t="s">
        <v>36</v>
      </c>
      <c r="B9" s="18"/>
      <c r="C9" s="18"/>
      <c r="D9" s="18"/>
      <c r="E9" s="18"/>
    </row>
    <row r="10" spans="1:13" ht="15.75" x14ac:dyDescent="0.25">
      <c r="A10" s="15" t="s">
        <v>37</v>
      </c>
      <c r="B10" s="18"/>
      <c r="C10" s="18"/>
      <c r="D10" s="18"/>
      <c r="E10" s="18"/>
    </row>
    <row r="11" spans="1:13" ht="15.75" x14ac:dyDescent="0.25">
      <c r="A11" s="17" t="s">
        <v>38</v>
      </c>
      <c r="B11" s="18">
        <f>SUM(B8:B10)</f>
        <v>0</v>
      </c>
      <c r="C11" s="18">
        <f>SUM(C8:C10)</f>
        <v>0</v>
      </c>
      <c r="D11" s="18">
        <f>SUM(D8:D10)</f>
        <v>0</v>
      </c>
      <c r="E11" s="18">
        <f>SUM(E8:E10)</f>
        <v>0</v>
      </c>
    </row>
    <row r="12" spans="1:13" ht="15.75" x14ac:dyDescent="0.25">
      <c r="A12" s="20" t="s">
        <v>39</v>
      </c>
      <c r="B12" s="14"/>
      <c r="C12" s="14"/>
      <c r="D12" s="14"/>
      <c r="E12" s="14"/>
    </row>
    <row r="13" spans="1:13" ht="15.75" x14ac:dyDescent="0.25">
      <c r="A13" s="15" t="s">
        <v>40</v>
      </c>
      <c r="B13" s="16"/>
      <c r="C13" s="16"/>
      <c r="D13" s="16"/>
      <c r="E13" s="16"/>
    </row>
    <row r="14" spans="1:13" ht="15.75" x14ac:dyDescent="0.25">
      <c r="L14" s="185" t="s">
        <v>43</v>
      </c>
      <c r="M14" s="185"/>
    </row>
    <row r="15" spans="1:13" ht="15.75" x14ac:dyDescent="0.25">
      <c r="L15" s="17" t="s">
        <v>44</v>
      </c>
      <c r="M15" s="21">
        <v>0</v>
      </c>
    </row>
    <row r="16" spans="1:13" ht="15.75" x14ac:dyDescent="0.25">
      <c r="L16" s="17" t="s">
        <v>45</v>
      </c>
      <c r="M16" s="21">
        <v>0</v>
      </c>
    </row>
    <row r="17" spans="12:13" ht="16.5" thickBot="1" x14ac:dyDescent="0.3">
      <c r="L17" s="22" t="s">
        <v>46</v>
      </c>
      <c r="M17" s="23">
        <v>0</v>
      </c>
    </row>
    <row r="18" spans="12:13" ht="16.5" thickTop="1" x14ac:dyDescent="0.25">
      <c r="L18" s="24" t="s">
        <v>47</v>
      </c>
      <c r="M18" s="25">
        <v>0</v>
      </c>
    </row>
  </sheetData>
  <mergeCells count="1">
    <mergeCell ref="L14:M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BDB4-3CF2-4983-A02B-B70B824254A5}">
  <dimension ref="B2:F23"/>
  <sheetViews>
    <sheetView showGridLines="0" workbookViewId="0">
      <selection activeCell="B2" sqref="B2:F23"/>
    </sheetView>
  </sheetViews>
  <sheetFormatPr defaultColWidth="9.140625" defaultRowHeight="18.75" x14ac:dyDescent="0.3"/>
  <cols>
    <col min="1" max="1" width="9.140625" style="50"/>
    <col min="2" max="2" width="56.140625" style="50" bestFit="1" customWidth="1"/>
    <col min="3" max="6" width="20.7109375" style="50" customWidth="1"/>
    <col min="7" max="16384" width="9.140625" style="50"/>
  </cols>
  <sheetData>
    <row r="2" spans="2:6" x14ac:dyDescent="0.3">
      <c r="B2" s="133" t="s">
        <v>327</v>
      </c>
      <c r="C2" s="134"/>
      <c r="D2" s="134"/>
      <c r="E2" s="134"/>
      <c r="F2" s="135"/>
    </row>
    <row r="3" spans="2:6" x14ac:dyDescent="0.3">
      <c r="B3" s="136"/>
      <c r="C3" s="137"/>
      <c r="D3" s="137"/>
      <c r="E3" s="137"/>
      <c r="F3" s="138"/>
    </row>
    <row r="4" spans="2:6" ht="56.25" x14ac:dyDescent="0.3">
      <c r="B4" s="65"/>
      <c r="C4" s="51" t="s">
        <v>6</v>
      </c>
      <c r="D4" s="51" t="s">
        <v>5</v>
      </c>
      <c r="E4" s="51" t="s">
        <v>310</v>
      </c>
      <c r="F4" s="66" t="s">
        <v>3</v>
      </c>
    </row>
    <row r="5" spans="2:6" x14ac:dyDescent="0.3">
      <c r="B5" s="67"/>
      <c r="C5" s="61"/>
      <c r="D5" s="61"/>
      <c r="E5" s="61"/>
      <c r="F5" s="68"/>
    </row>
    <row r="6" spans="2:6" x14ac:dyDescent="0.3">
      <c r="B6" s="65" t="s">
        <v>319</v>
      </c>
      <c r="C6" s="52">
        <v>1115020.7699999998</v>
      </c>
      <c r="D6" s="52">
        <v>1113872.5399999998</v>
      </c>
      <c r="E6" s="52">
        <v>1460077</v>
      </c>
      <c r="F6" s="59">
        <v>1452699.5</v>
      </c>
    </row>
    <row r="7" spans="2:6" x14ac:dyDescent="0.3">
      <c r="B7" s="65" t="s">
        <v>320</v>
      </c>
      <c r="C7" s="52">
        <v>3422459.74</v>
      </c>
      <c r="D7" s="52">
        <v>3354631.6300000004</v>
      </c>
      <c r="E7" s="52">
        <v>3320838.88</v>
      </c>
      <c r="F7" s="59">
        <v>3509566</v>
      </c>
    </row>
    <row r="8" spans="2:6" x14ac:dyDescent="0.3">
      <c r="B8" s="65" t="s">
        <v>329</v>
      </c>
      <c r="C8" s="52">
        <v>243849.83</v>
      </c>
      <c r="D8" s="52">
        <v>280624.32999999996</v>
      </c>
      <c r="E8" s="52">
        <v>260541</v>
      </c>
      <c r="F8" s="59">
        <v>293241</v>
      </c>
    </row>
    <row r="9" spans="2:6" x14ac:dyDescent="0.3">
      <c r="B9" s="65" t="s">
        <v>321</v>
      </c>
      <c r="C9" s="52">
        <v>1537304.0099999998</v>
      </c>
      <c r="D9" s="52">
        <v>1891862.0699999998</v>
      </c>
      <c r="E9" s="52">
        <v>2711489</v>
      </c>
      <c r="F9" s="59">
        <v>2463537</v>
      </c>
    </row>
    <row r="10" spans="2:6" x14ac:dyDescent="0.3">
      <c r="B10" s="65" t="s">
        <v>322</v>
      </c>
      <c r="C10" s="52">
        <v>147398.56</v>
      </c>
      <c r="D10" s="52">
        <v>103473.9</v>
      </c>
      <c r="E10" s="52">
        <v>25775</v>
      </c>
      <c r="F10" s="59">
        <v>165460</v>
      </c>
    </row>
    <row r="11" spans="2:6" x14ac:dyDescent="0.3">
      <c r="B11" s="67"/>
      <c r="C11" s="62"/>
      <c r="D11" s="62"/>
      <c r="E11" s="62"/>
      <c r="F11" s="69"/>
    </row>
    <row r="12" spans="2:6" x14ac:dyDescent="0.3">
      <c r="B12" s="58" t="s">
        <v>318</v>
      </c>
      <c r="C12" s="52">
        <f>SUM(C6:C10)</f>
        <v>6466032.9099999992</v>
      </c>
      <c r="D12" s="52">
        <f>SUM(D6:D10)</f>
        <v>6744464.4700000007</v>
      </c>
      <c r="E12" s="52">
        <f>SUM(E6:E10)</f>
        <v>7778720.8799999999</v>
      </c>
      <c r="F12" s="59">
        <f>SUM(F6:F10)</f>
        <v>7884503.5</v>
      </c>
    </row>
    <row r="13" spans="2:6" x14ac:dyDescent="0.3">
      <c r="B13" s="67"/>
      <c r="C13" s="60"/>
      <c r="D13" s="60"/>
      <c r="E13" s="60"/>
      <c r="F13" s="70"/>
    </row>
    <row r="14" spans="2:6" x14ac:dyDescent="0.3">
      <c r="B14" s="58" t="s">
        <v>324</v>
      </c>
      <c r="C14" s="52">
        <f>'WA TR PL'!C62</f>
        <v>1255796.0300000003</v>
      </c>
      <c r="D14" s="52">
        <f>'WA TR PL'!D62</f>
        <v>1154230.76</v>
      </c>
      <c r="E14" s="52">
        <f>'WA TR PL'!E62</f>
        <v>1518376.75</v>
      </c>
      <c r="F14" s="59">
        <f>'WA TR PL'!F62</f>
        <v>1452376</v>
      </c>
    </row>
    <row r="15" spans="2:6" x14ac:dyDescent="0.3">
      <c r="B15" s="67"/>
      <c r="C15" s="60"/>
      <c r="D15" s="60"/>
      <c r="E15" s="60"/>
      <c r="F15" s="70"/>
    </row>
    <row r="16" spans="2:6" x14ac:dyDescent="0.3">
      <c r="B16" s="65" t="s">
        <v>325</v>
      </c>
      <c r="C16" s="52">
        <f>'WW TR PL'!C66</f>
        <v>1173839.21</v>
      </c>
      <c r="D16" s="52">
        <f>'WW TR PL'!D66</f>
        <v>1138871.8699999999</v>
      </c>
      <c r="E16" s="52">
        <f>'WW TR PL'!E66</f>
        <v>1293858.93</v>
      </c>
      <c r="F16" s="59">
        <f>'WW TR PL'!F66</f>
        <v>1614024</v>
      </c>
    </row>
    <row r="17" spans="2:6" x14ac:dyDescent="0.3">
      <c r="B17" s="67"/>
      <c r="C17" s="60"/>
      <c r="D17" s="60"/>
      <c r="E17" s="60"/>
      <c r="F17" s="70"/>
    </row>
    <row r="18" spans="2:6" x14ac:dyDescent="0.3">
      <c r="B18" s="65" t="s">
        <v>328</v>
      </c>
      <c r="C18" s="52">
        <f>'W&amp;S LINE'!C56</f>
        <v>414174.94</v>
      </c>
      <c r="D18" s="52">
        <f>'W&amp;S LINE'!D56</f>
        <v>428906.48</v>
      </c>
      <c r="E18" s="52">
        <f>'W&amp;S LINE'!E56</f>
        <v>399892</v>
      </c>
      <c r="F18" s="59">
        <f>'W&amp;S LINE'!F56</f>
        <v>649096</v>
      </c>
    </row>
    <row r="19" spans="2:6" x14ac:dyDescent="0.3">
      <c r="B19" s="67"/>
      <c r="C19" s="60"/>
      <c r="D19" s="60"/>
      <c r="E19" s="60"/>
      <c r="F19" s="70"/>
    </row>
    <row r="20" spans="2:6" x14ac:dyDescent="0.3">
      <c r="B20" s="65" t="s">
        <v>323</v>
      </c>
      <c r="C20" s="52">
        <f>'Electric Dep'!C72</f>
        <v>5877824.0199999996</v>
      </c>
      <c r="D20" s="52">
        <f>'Electric Dep'!D72</f>
        <v>6507209.4099999992</v>
      </c>
      <c r="E20" s="52">
        <f>'Electric Dep'!E72</f>
        <v>7302369.9900000002</v>
      </c>
      <c r="F20" s="59">
        <f>'Electric Dep'!F72</f>
        <v>7264000</v>
      </c>
    </row>
    <row r="21" spans="2:6" x14ac:dyDescent="0.3">
      <c r="B21" s="67"/>
      <c r="C21" s="60"/>
      <c r="D21" s="60"/>
      <c r="E21" s="60"/>
      <c r="F21" s="70"/>
    </row>
    <row r="22" spans="2:6" ht="19.5" thickBot="1" x14ac:dyDescent="0.35">
      <c r="B22" s="71" t="s">
        <v>326</v>
      </c>
      <c r="C22" s="64">
        <f>C12+C14+C16+C18+C20</f>
        <v>15187667.109999998</v>
      </c>
      <c r="D22" s="64">
        <f>D12+D14+D16+D18+D20</f>
        <v>15973682.989999998</v>
      </c>
      <c r="E22" s="64">
        <f>E12+E14+E16+E18+E20</f>
        <v>18293218.549999997</v>
      </c>
      <c r="F22" s="72">
        <f>F12+F14+F16+F18+F20</f>
        <v>18863999.5</v>
      </c>
    </row>
    <row r="23" spans="2:6" ht="19.5" thickTop="1" x14ac:dyDescent="0.3">
      <c r="B23" s="73"/>
      <c r="C23" s="63"/>
      <c r="D23" s="63"/>
      <c r="E23" s="63"/>
      <c r="F23" s="74"/>
    </row>
  </sheetData>
  <mergeCells count="1">
    <mergeCell ref="B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653D-F313-4341-AD78-34ADF9DC56B2}">
  <sheetPr>
    <pageSetUpPr fitToPage="1"/>
  </sheetPr>
  <dimension ref="A1:I92"/>
  <sheetViews>
    <sheetView showGridLines="0" zoomScale="110" zoomScaleNormal="11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54.140625" style="2" bestFit="1" customWidth="1"/>
    <col min="3" max="3" width="16.28515625" style="2" bestFit="1" customWidth="1"/>
    <col min="4" max="4" width="17.7109375" style="2" bestFit="1" customWidth="1"/>
    <col min="5" max="5" width="20.85546875" style="2" bestFit="1" customWidth="1"/>
    <col min="6" max="7" width="21.7109375" style="2" bestFit="1" customWidth="1"/>
    <col min="8" max="8" width="36" style="2" customWidth="1"/>
    <col min="9" max="9" width="15.140625" style="2" bestFit="1" customWidth="1"/>
    <col min="10" max="10" width="11.5703125" style="2" bestFit="1" customWidth="1"/>
    <col min="11" max="16384" width="9.140625" style="2"/>
  </cols>
  <sheetData>
    <row r="1" spans="1:8" ht="34.5" customHeight="1" x14ac:dyDescent="0.2">
      <c r="A1" s="143" t="s">
        <v>51</v>
      </c>
      <c r="B1" s="143"/>
      <c r="C1" s="143"/>
      <c r="D1" s="143"/>
      <c r="E1" s="143"/>
      <c r="F1" s="143"/>
      <c r="G1" s="143"/>
    </row>
    <row r="2" spans="1:8" ht="15.6" customHeight="1" x14ac:dyDescent="0.2">
      <c r="A2" s="104"/>
      <c r="B2" s="104"/>
      <c r="C2" s="104"/>
      <c r="D2" s="104"/>
      <c r="E2" s="104"/>
      <c r="F2" s="104"/>
    </row>
    <row r="3" spans="1:8" ht="15.6" customHeight="1" x14ac:dyDescent="0.2">
      <c r="A3" s="104"/>
      <c r="B3" s="104"/>
      <c r="C3" s="104"/>
      <c r="D3" s="104"/>
      <c r="E3" s="104"/>
      <c r="F3" s="104"/>
    </row>
    <row r="4" spans="1:8" ht="25.5" customHeight="1" thickBot="1" x14ac:dyDescent="0.25">
      <c r="A4" s="141" t="s">
        <v>51</v>
      </c>
      <c r="B4" s="142"/>
      <c r="C4" s="142"/>
      <c r="D4" s="142"/>
      <c r="E4" s="142"/>
      <c r="F4" s="142"/>
      <c r="G4" s="142"/>
    </row>
    <row r="5" spans="1:8" s="76" customFormat="1" ht="56.25" x14ac:dyDescent="0.25">
      <c r="A5" s="77" t="s">
        <v>1</v>
      </c>
      <c r="B5" s="77" t="s">
        <v>2</v>
      </c>
      <c r="C5" s="77" t="s">
        <v>6</v>
      </c>
      <c r="D5" s="77" t="s">
        <v>5</v>
      </c>
      <c r="E5" s="77" t="s">
        <v>350</v>
      </c>
      <c r="F5" s="77" t="s">
        <v>349</v>
      </c>
      <c r="G5" s="77" t="s">
        <v>348</v>
      </c>
    </row>
    <row r="6" spans="1:8" ht="15.75" x14ac:dyDescent="0.25">
      <c r="A6" s="3">
        <v>410000</v>
      </c>
      <c r="B6" s="4" t="s">
        <v>52</v>
      </c>
      <c r="C6" s="6">
        <v>531084.09</v>
      </c>
      <c r="D6" s="6">
        <v>527196.91</v>
      </c>
      <c r="E6" s="6">
        <v>522269.65</v>
      </c>
      <c r="F6" s="6">
        <v>535000</v>
      </c>
      <c r="G6" s="6">
        <f>550000-31543-32</f>
        <v>518425</v>
      </c>
      <c r="H6" s="116" t="s">
        <v>445</v>
      </c>
    </row>
    <row r="7" spans="1:8" ht="15.75" x14ac:dyDescent="0.25">
      <c r="A7" s="3">
        <v>410050</v>
      </c>
      <c r="B7" s="4" t="s">
        <v>53</v>
      </c>
      <c r="C7" s="6">
        <v>29439.39</v>
      </c>
      <c r="D7" s="6">
        <v>-728.39</v>
      </c>
      <c r="E7" s="6">
        <v>-674.35</v>
      </c>
      <c r="F7" s="6">
        <v>20000</v>
      </c>
      <c r="G7" s="6">
        <v>20000</v>
      </c>
    </row>
    <row r="8" spans="1:8" ht="15.75" x14ac:dyDescent="0.25">
      <c r="A8" s="3">
        <v>410100</v>
      </c>
      <c r="B8" s="4" t="s">
        <v>54</v>
      </c>
      <c r="C8" s="6">
        <v>2611.6799999999998</v>
      </c>
      <c r="D8" s="6">
        <v>-1200.28</v>
      </c>
      <c r="E8" s="6">
        <v>-726.22</v>
      </c>
      <c r="F8" s="6">
        <v>1000</v>
      </c>
      <c r="G8" s="6">
        <v>1000</v>
      </c>
    </row>
    <row r="9" spans="1:8" ht="15.75" x14ac:dyDescent="0.25">
      <c r="A9" s="3">
        <v>410200</v>
      </c>
      <c r="B9" s="4" t="s">
        <v>55</v>
      </c>
      <c r="C9" s="6">
        <v>15953.14</v>
      </c>
      <c r="D9" s="6">
        <v>21516.32</v>
      </c>
      <c r="E9" s="6">
        <v>17115.990000000002</v>
      </c>
      <c r="F9" s="6">
        <v>20000</v>
      </c>
      <c r="G9" s="6">
        <v>23000</v>
      </c>
    </row>
    <row r="10" spans="1:8" ht="15.75" x14ac:dyDescent="0.25">
      <c r="A10" s="3">
        <v>410300</v>
      </c>
      <c r="B10" s="4" t="s">
        <v>56</v>
      </c>
      <c r="C10" s="6">
        <v>2055.19</v>
      </c>
      <c r="D10" s="6">
        <v>2720.11</v>
      </c>
      <c r="E10" s="6">
        <v>2610.14</v>
      </c>
      <c r="F10" s="6">
        <v>2000</v>
      </c>
      <c r="G10" s="6">
        <v>2000</v>
      </c>
    </row>
    <row r="11" spans="1:8" ht="15.75" x14ac:dyDescent="0.25">
      <c r="A11" s="3">
        <v>410350</v>
      </c>
      <c r="B11" s="4" t="s">
        <v>57</v>
      </c>
      <c r="C11" s="6">
        <v>2547.91</v>
      </c>
      <c r="D11" s="6">
        <v>4206.47</v>
      </c>
      <c r="E11" s="6">
        <v>3223.83</v>
      </c>
      <c r="F11" s="6">
        <v>5000</v>
      </c>
      <c r="G11" s="6">
        <v>5000</v>
      </c>
    </row>
    <row r="12" spans="1:8" ht="15.75" x14ac:dyDescent="0.25">
      <c r="A12" s="3">
        <v>410400</v>
      </c>
      <c r="B12" s="4" t="s">
        <v>58</v>
      </c>
      <c r="C12" s="6">
        <v>47893.75</v>
      </c>
      <c r="D12" s="6">
        <v>43294.31</v>
      </c>
      <c r="E12" s="6">
        <v>40839.550000000003</v>
      </c>
      <c r="F12" s="6">
        <v>46000</v>
      </c>
      <c r="G12" s="6">
        <f>46000-2426</f>
        <v>43574</v>
      </c>
      <c r="H12" s="116" t="s">
        <v>445</v>
      </c>
    </row>
    <row r="13" spans="1:8" ht="15.75" x14ac:dyDescent="0.25">
      <c r="A13" s="3">
        <v>410500</v>
      </c>
      <c r="B13" s="4" t="s">
        <v>281</v>
      </c>
      <c r="C13" s="6">
        <v>0</v>
      </c>
      <c r="D13" s="6">
        <v>-373.87</v>
      </c>
      <c r="E13" s="6">
        <v>373.87</v>
      </c>
      <c r="F13" s="6">
        <v>0</v>
      </c>
      <c r="G13" s="6">
        <v>0</v>
      </c>
    </row>
    <row r="14" spans="1:8" ht="45.75" x14ac:dyDescent="0.25">
      <c r="A14" s="3">
        <v>411000</v>
      </c>
      <c r="B14" s="4" t="s">
        <v>59</v>
      </c>
      <c r="C14" s="6">
        <v>245304.28</v>
      </c>
      <c r="D14" s="6">
        <v>241347.53</v>
      </c>
      <c r="E14" s="6">
        <v>290018.74</v>
      </c>
      <c r="F14" s="6">
        <v>225000</v>
      </c>
      <c r="G14" s="6">
        <f>250000+1300</f>
        <v>251300</v>
      </c>
      <c r="H14" s="115" t="s">
        <v>432</v>
      </c>
    </row>
    <row r="15" spans="1:8" ht="15.75" x14ac:dyDescent="0.25">
      <c r="A15" s="3">
        <v>411050</v>
      </c>
      <c r="B15" s="4" t="s">
        <v>292</v>
      </c>
      <c r="C15" s="6">
        <v>0</v>
      </c>
      <c r="D15" s="6">
        <v>0</v>
      </c>
      <c r="E15" s="6">
        <v>0</v>
      </c>
      <c r="F15" s="6">
        <v>5000</v>
      </c>
      <c r="G15" s="6">
        <v>5000</v>
      </c>
    </row>
    <row r="16" spans="1:8" ht="15.75" x14ac:dyDescent="0.25">
      <c r="A16" s="3">
        <v>411100</v>
      </c>
      <c r="B16" s="4" t="s">
        <v>372</v>
      </c>
      <c r="C16" s="6">
        <v>915343.67</v>
      </c>
      <c r="D16" s="6">
        <v>1015729.39</v>
      </c>
      <c r="E16" s="6">
        <v>1068231.97</v>
      </c>
      <c r="F16" s="6">
        <v>1050000</v>
      </c>
      <c r="G16" s="6">
        <v>1150000</v>
      </c>
    </row>
    <row r="17" spans="1:7" ht="15.75" x14ac:dyDescent="0.25">
      <c r="A17" s="3">
        <v>411200</v>
      </c>
      <c r="B17" s="4" t="s">
        <v>60</v>
      </c>
      <c r="C17" s="6">
        <v>548988.69999999995</v>
      </c>
      <c r="D17" s="6">
        <v>579330.53</v>
      </c>
      <c r="E17" s="6">
        <v>565948.16000000003</v>
      </c>
      <c r="F17" s="6">
        <v>575000</v>
      </c>
      <c r="G17" s="6">
        <v>600000</v>
      </c>
    </row>
    <row r="18" spans="1:7" ht="15.75" x14ac:dyDescent="0.25">
      <c r="A18" s="3">
        <v>411300</v>
      </c>
      <c r="B18" s="4" t="s">
        <v>61</v>
      </c>
      <c r="C18" s="6">
        <v>31460.26</v>
      </c>
      <c r="D18" s="6">
        <v>36118.54</v>
      </c>
      <c r="E18" s="6">
        <v>37660.25</v>
      </c>
      <c r="F18" s="6">
        <v>35000</v>
      </c>
      <c r="G18" s="6">
        <v>35000</v>
      </c>
    </row>
    <row r="19" spans="1:7" ht="15.75" x14ac:dyDescent="0.25">
      <c r="A19" s="3">
        <v>411400</v>
      </c>
      <c r="B19" s="4" t="s">
        <v>62</v>
      </c>
      <c r="C19" s="6">
        <v>7903.95</v>
      </c>
      <c r="D19" s="6">
        <v>8666.5300000000007</v>
      </c>
      <c r="E19" s="6">
        <v>7913.52</v>
      </c>
      <c r="F19" s="6">
        <v>8000</v>
      </c>
      <c r="G19" s="6">
        <v>8000</v>
      </c>
    </row>
    <row r="20" spans="1:7" ht="15.75" x14ac:dyDescent="0.25">
      <c r="A20" s="3">
        <v>411450</v>
      </c>
      <c r="B20" s="4" t="s">
        <v>63</v>
      </c>
      <c r="C20" s="6">
        <v>92238.46</v>
      </c>
      <c r="D20" s="6">
        <v>80597.37</v>
      </c>
      <c r="E20" s="6">
        <v>-7.61</v>
      </c>
      <c r="F20" s="6">
        <v>0</v>
      </c>
      <c r="G20" s="6">
        <v>0</v>
      </c>
    </row>
    <row r="21" spans="1:7" ht="15.75" x14ac:dyDescent="0.25">
      <c r="A21" s="3">
        <v>411500</v>
      </c>
      <c r="B21" s="4" t="s">
        <v>64</v>
      </c>
      <c r="C21" s="6">
        <v>151080.54</v>
      </c>
      <c r="D21" s="6">
        <v>186582.94</v>
      </c>
      <c r="E21" s="6">
        <v>206250</v>
      </c>
      <c r="F21" s="6">
        <v>200000</v>
      </c>
      <c r="G21" s="6">
        <v>200000</v>
      </c>
    </row>
    <row r="22" spans="1:7" ht="15.75" x14ac:dyDescent="0.25">
      <c r="A22" s="3">
        <v>411550</v>
      </c>
      <c r="B22" s="4" t="s">
        <v>282</v>
      </c>
      <c r="C22" s="6">
        <v>0</v>
      </c>
      <c r="D22" s="6">
        <v>5674.41</v>
      </c>
      <c r="E22" s="6">
        <v>4594.18</v>
      </c>
      <c r="F22" s="6">
        <v>1000</v>
      </c>
      <c r="G22" s="6">
        <v>1000</v>
      </c>
    </row>
    <row r="23" spans="1:7" ht="15.75" x14ac:dyDescent="0.25">
      <c r="A23" s="3">
        <v>411650</v>
      </c>
      <c r="B23" s="4" t="s">
        <v>283</v>
      </c>
      <c r="C23" s="6">
        <v>0</v>
      </c>
      <c r="D23" s="6">
        <v>518.49</v>
      </c>
      <c r="E23" s="6">
        <v>235.01</v>
      </c>
      <c r="F23" s="6">
        <v>0</v>
      </c>
      <c r="G23" s="6">
        <v>0</v>
      </c>
    </row>
    <row r="24" spans="1:7" ht="15.75" x14ac:dyDescent="0.25">
      <c r="A24" s="3">
        <v>411750</v>
      </c>
      <c r="B24" s="4" t="s">
        <v>284</v>
      </c>
      <c r="C24" s="6">
        <v>0</v>
      </c>
      <c r="D24" s="6">
        <v>179.75</v>
      </c>
      <c r="E24" s="6">
        <v>294.04000000000002</v>
      </c>
      <c r="F24" s="6">
        <v>0</v>
      </c>
      <c r="G24" s="6">
        <v>0</v>
      </c>
    </row>
    <row r="25" spans="1:7" ht="15.75" x14ac:dyDescent="0.25">
      <c r="A25" s="3">
        <v>412000</v>
      </c>
      <c r="B25" s="4" t="s">
        <v>65</v>
      </c>
      <c r="C25" s="6">
        <v>1140</v>
      </c>
      <c r="D25" s="6">
        <v>1485</v>
      </c>
      <c r="E25" s="6">
        <v>1390</v>
      </c>
      <c r="F25" s="6">
        <v>1000</v>
      </c>
      <c r="G25" s="6">
        <v>1000</v>
      </c>
    </row>
    <row r="26" spans="1:7" ht="15.75" x14ac:dyDescent="0.25">
      <c r="A26" s="3">
        <v>413000</v>
      </c>
      <c r="B26" s="4" t="s">
        <v>66</v>
      </c>
      <c r="C26" s="6">
        <v>26269.42</v>
      </c>
      <c r="D26" s="6">
        <v>29052.080000000002</v>
      </c>
      <c r="E26" s="6">
        <v>35391.480000000003</v>
      </c>
      <c r="F26" s="6">
        <v>30000</v>
      </c>
      <c r="G26" s="6">
        <v>30000</v>
      </c>
    </row>
    <row r="27" spans="1:7" ht="15.75" x14ac:dyDescent="0.25">
      <c r="A27" s="3">
        <v>413050</v>
      </c>
      <c r="B27" s="4" t="s">
        <v>67</v>
      </c>
      <c r="C27" s="6">
        <v>2805.24</v>
      </c>
      <c r="D27" s="6">
        <v>2566.5500000000002</v>
      </c>
      <c r="E27" s="6">
        <v>2572.2600000000002</v>
      </c>
      <c r="F27" s="6">
        <v>0</v>
      </c>
      <c r="G27" s="6">
        <v>0</v>
      </c>
    </row>
    <row r="28" spans="1:7" ht="15.75" x14ac:dyDescent="0.25">
      <c r="A28" s="3">
        <v>413100</v>
      </c>
      <c r="B28" s="4" t="s">
        <v>285</v>
      </c>
      <c r="C28" s="6">
        <v>0</v>
      </c>
      <c r="D28" s="6">
        <v>975</v>
      </c>
      <c r="E28" s="6">
        <v>425</v>
      </c>
      <c r="F28" s="6">
        <v>600</v>
      </c>
      <c r="G28" s="6">
        <v>0</v>
      </c>
    </row>
    <row r="29" spans="1:7" ht="15.75" x14ac:dyDescent="0.25">
      <c r="A29" s="3">
        <v>413300</v>
      </c>
      <c r="B29" s="4" t="s">
        <v>68</v>
      </c>
      <c r="C29" s="6">
        <v>2306.5100000000002</v>
      </c>
      <c r="D29" s="6">
        <v>3522.59</v>
      </c>
      <c r="E29" s="6">
        <v>8308.68</v>
      </c>
      <c r="F29" s="6">
        <v>0</v>
      </c>
      <c r="G29" s="6">
        <v>0</v>
      </c>
    </row>
    <row r="30" spans="1:7" ht="15.75" x14ac:dyDescent="0.25">
      <c r="A30" s="3">
        <v>413400</v>
      </c>
      <c r="B30" s="4" t="s">
        <v>69</v>
      </c>
      <c r="C30" s="6">
        <v>4530.34</v>
      </c>
      <c r="D30" s="6">
        <v>5780.9</v>
      </c>
      <c r="E30" s="6">
        <v>6333.13</v>
      </c>
      <c r="F30" s="6">
        <v>5000</v>
      </c>
      <c r="G30" s="6">
        <v>5000</v>
      </c>
    </row>
    <row r="31" spans="1:7" ht="15.75" x14ac:dyDescent="0.25">
      <c r="A31" s="3">
        <v>413900</v>
      </c>
      <c r="B31" s="4" t="s">
        <v>70</v>
      </c>
      <c r="C31" s="6">
        <v>5771.8</v>
      </c>
      <c r="D31" s="6">
        <v>3997</v>
      </c>
      <c r="E31" s="6">
        <v>4674.75</v>
      </c>
      <c r="F31" s="6">
        <v>10000</v>
      </c>
      <c r="G31" s="6">
        <v>5000</v>
      </c>
    </row>
    <row r="32" spans="1:7" ht="15.75" x14ac:dyDescent="0.25">
      <c r="A32" s="3">
        <v>413950</v>
      </c>
      <c r="B32" s="4" t="s">
        <v>71</v>
      </c>
      <c r="C32" s="6">
        <v>15000</v>
      </c>
      <c r="D32" s="6">
        <v>0</v>
      </c>
      <c r="E32" s="6">
        <v>73550</v>
      </c>
      <c r="F32" s="6">
        <v>0</v>
      </c>
      <c r="G32" s="6">
        <v>0</v>
      </c>
    </row>
    <row r="33" spans="1:8" ht="15.75" x14ac:dyDescent="0.25">
      <c r="A33" s="3">
        <v>414100</v>
      </c>
      <c r="B33" s="4" t="s">
        <v>72</v>
      </c>
      <c r="C33" s="6">
        <v>260000</v>
      </c>
      <c r="D33" s="6">
        <v>260000</v>
      </c>
      <c r="E33" s="6">
        <v>300000</v>
      </c>
      <c r="F33" s="6">
        <v>270000</v>
      </c>
      <c r="G33" s="6">
        <v>300000</v>
      </c>
    </row>
    <row r="34" spans="1:8" ht="15.75" x14ac:dyDescent="0.25">
      <c r="A34" s="3">
        <v>414125</v>
      </c>
      <c r="B34" s="4" t="s">
        <v>73</v>
      </c>
      <c r="C34" s="6">
        <v>738772.09</v>
      </c>
      <c r="D34" s="6">
        <v>808909.52</v>
      </c>
      <c r="E34" s="6">
        <v>923259.71</v>
      </c>
      <c r="F34" s="6">
        <v>800000</v>
      </c>
      <c r="G34" s="6">
        <v>1018752.56</v>
      </c>
    </row>
    <row r="35" spans="1:8" ht="15.75" x14ac:dyDescent="0.25">
      <c r="A35" s="3">
        <v>414130</v>
      </c>
      <c r="B35" s="4" t="s">
        <v>74</v>
      </c>
      <c r="C35" s="6">
        <v>11524.58</v>
      </c>
      <c r="D35" s="6">
        <v>6873.34</v>
      </c>
      <c r="E35" s="6">
        <v>1682.83</v>
      </c>
      <c r="F35" s="6">
        <v>6000</v>
      </c>
      <c r="G35" s="6">
        <v>6000</v>
      </c>
    </row>
    <row r="36" spans="1:8" ht="15.75" x14ac:dyDescent="0.25">
      <c r="A36" s="3">
        <v>414150</v>
      </c>
      <c r="B36" s="4" t="s">
        <v>75</v>
      </c>
      <c r="C36" s="6">
        <v>15045</v>
      </c>
      <c r="D36" s="6">
        <v>13703</v>
      </c>
      <c r="E36" s="6">
        <v>15182.54</v>
      </c>
      <c r="F36" s="6">
        <v>15000</v>
      </c>
      <c r="G36" s="6">
        <v>15000</v>
      </c>
    </row>
    <row r="37" spans="1:8" ht="15.75" x14ac:dyDescent="0.25">
      <c r="A37" s="3">
        <v>414200</v>
      </c>
      <c r="B37" s="4" t="s">
        <v>76</v>
      </c>
      <c r="C37" s="6">
        <v>18808.5</v>
      </c>
      <c r="D37" s="6">
        <v>19148.36</v>
      </c>
      <c r="E37" s="6">
        <v>27289.23</v>
      </c>
      <c r="F37" s="6">
        <v>25000</v>
      </c>
      <c r="G37" s="6">
        <v>25000</v>
      </c>
    </row>
    <row r="38" spans="1:8" ht="15.75" x14ac:dyDescent="0.25">
      <c r="A38" s="3">
        <v>414250</v>
      </c>
      <c r="B38" s="4" t="s">
        <v>77</v>
      </c>
      <c r="C38" s="6">
        <v>5349</v>
      </c>
      <c r="D38" s="6">
        <v>21371</v>
      </c>
      <c r="E38" s="6">
        <v>22387</v>
      </c>
      <c r="F38" s="6">
        <v>20000</v>
      </c>
      <c r="G38" s="6">
        <v>20000</v>
      </c>
    </row>
    <row r="39" spans="1:8" ht="15.75" x14ac:dyDescent="0.25">
      <c r="A39" s="3">
        <v>414300</v>
      </c>
      <c r="B39" s="4" t="s">
        <v>286</v>
      </c>
      <c r="C39" s="6">
        <v>0</v>
      </c>
      <c r="D39" s="6">
        <v>6</v>
      </c>
      <c r="E39" s="6">
        <v>0</v>
      </c>
      <c r="F39" s="6">
        <v>0</v>
      </c>
      <c r="G39" s="6">
        <v>0</v>
      </c>
    </row>
    <row r="40" spans="1:8" ht="15.75" x14ac:dyDescent="0.25">
      <c r="A40" s="3">
        <v>414350</v>
      </c>
      <c r="B40" s="4" t="s">
        <v>78</v>
      </c>
      <c r="C40" s="6">
        <v>455.5</v>
      </c>
      <c r="D40" s="6">
        <v>309</v>
      </c>
      <c r="E40" s="6">
        <v>108</v>
      </c>
      <c r="F40" s="6">
        <v>100</v>
      </c>
      <c r="G40" s="6">
        <v>0</v>
      </c>
    </row>
    <row r="41" spans="1:8" ht="30.75" x14ac:dyDescent="0.25">
      <c r="A41" s="3">
        <v>414400</v>
      </c>
      <c r="B41" s="4" t="s">
        <v>79</v>
      </c>
      <c r="C41" s="6">
        <v>605</v>
      </c>
      <c r="D41" s="6">
        <v>755</v>
      </c>
      <c r="E41" s="6">
        <v>1340</v>
      </c>
      <c r="F41" s="6">
        <v>10000</v>
      </c>
      <c r="G41" s="6">
        <v>1500</v>
      </c>
      <c r="H41" s="115" t="s">
        <v>421</v>
      </c>
    </row>
    <row r="42" spans="1:8" ht="15.75" x14ac:dyDescent="0.25">
      <c r="A42" s="3">
        <v>414425</v>
      </c>
      <c r="B42" s="4" t="s">
        <v>80</v>
      </c>
      <c r="C42" s="6">
        <v>1952</v>
      </c>
      <c r="D42" s="6">
        <v>1821</v>
      </c>
      <c r="E42" s="6">
        <v>1830</v>
      </c>
      <c r="F42" s="6">
        <v>1000</v>
      </c>
      <c r="G42" s="6">
        <v>1000</v>
      </c>
    </row>
    <row r="43" spans="1:8" ht="15.75" x14ac:dyDescent="0.25">
      <c r="A43" s="3">
        <v>414450</v>
      </c>
      <c r="B43" s="4" t="s">
        <v>81</v>
      </c>
      <c r="C43" s="6">
        <v>4640</v>
      </c>
      <c r="D43" s="6">
        <v>3730</v>
      </c>
      <c r="E43" s="6">
        <v>3755</v>
      </c>
      <c r="F43" s="6">
        <v>4000</v>
      </c>
      <c r="G43" s="6">
        <v>6000</v>
      </c>
    </row>
    <row r="44" spans="1:8" ht="15.75" x14ac:dyDescent="0.25">
      <c r="A44" s="3">
        <v>414475</v>
      </c>
      <c r="B44" s="4" t="s">
        <v>82</v>
      </c>
      <c r="C44" s="6">
        <v>805</v>
      </c>
      <c r="D44" s="6">
        <v>800</v>
      </c>
      <c r="E44" s="6">
        <v>630</v>
      </c>
      <c r="F44" s="6">
        <v>800</v>
      </c>
      <c r="G44" s="6">
        <v>1500</v>
      </c>
    </row>
    <row r="45" spans="1:8" ht="15.75" x14ac:dyDescent="0.25">
      <c r="A45" s="3">
        <v>414500</v>
      </c>
      <c r="B45" s="4" t="s">
        <v>83</v>
      </c>
      <c r="C45" s="6">
        <v>1980</v>
      </c>
      <c r="D45" s="6">
        <v>6967.56</v>
      </c>
      <c r="E45" s="6">
        <v>3601</v>
      </c>
      <c r="F45" s="6">
        <v>2500</v>
      </c>
      <c r="G45" s="6">
        <v>5000</v>
      </c>
    </row>
    <row r="46" spans="1:8" ht="15.75" x14ac:dyDescent="0.25">
      <c r="A46" s="3">
        <v>414525</v>
      </c>
      <c r="B46" s="4" t="s">
        <v>84</v>
      </c>
      <c r="C46" s="6">
        <v>710</v>
      </c>
      <c r="D46" s="6">
        <v>3088</v>
      </c>
      <c r="E46" s="6">
        <v>623</v>
      </c>
      <c r="F46" s="6">
        <v>1000</v>
      </c>
      <c r="G46" s="6">
        <v>1000</v>
      </c>
    </row>
    <row r="47" spans="1:8" ht="15.75" x14ac:dyDescent="0.25">
      <c r="A47" s="3">
        <v>414550</v>
      </c>
      <c r="B47" s="4" t="s">
        <v>85</v>
      </c>
      <c r="C47" s="6">
        <v>10080</v>
      </c>
      <c r="D47" s="6">
        <v>7552</v>
      </c>
      <c r="E47" s="6">
        <v>10357</v>
      </c>
      <c r="F47" s="6">
        <v>10000</v>
      </c>
      <c r="G47" s="6">
        <v>12000</v>
      </c>
    </row>
    <row r="48" spans="1:8" ht="15.75" x14ac:dyDescent="0.25">
      <c r="A48" s="3">
        <v>420150</v>
      </c>
      <c r="B48" s="4" t="s">
        <v>86</v>
      </c>
      <c r="C48" s="6">
        <v>519844.45</v>
      </c>
      <c r="D48" s="6">
        <v>518002.47</v>
      </c>
      <c r="E48" s="6">
        <v>516997</v>
      </c>
      <c r="F48" s="6">
        <v>655000</v>
      </c>
      <c r="G48" s="6">
        <v>655000</v>
      </c>
    </row>
    <row r="49" spans="1:7" ht="15.75" x14ac:dyDescent="0.25">
      <c r="A49" s="3">
        <v>420175</v>
      </c>
      <c r="B49" s="4" t="s">
        <v>373</v>
      </c>
      <c r="C49" s="6"/>
      <c r="D49" s="6"/>
      <c r="E49" s="6">
        <v>9125</v>
      </c>
      <c r="F49" s="6"/>
      <c r="G49" s="6"/>
    </row>
    <row r="50" spans="1:7" ht="15.75" x14ac:dyDescent="0.25">
      <c r="A50" s="3">
        <v>420200</v>
      </c>
      <c r="B50" s="4" t="s">
        <v>87</v>
      </c>
      <c r="C50" s="6">
        <v>8014.3</v>
      </c>
      <c r="D50" s="6">
        <v>9602.98</v>
      </c>
      <c r="E50" s="6">
        <v>10310.59</v>
      </c>
      <c r="F50" s="6">
        <v>8000</v>
      </c>
      <c r="G50" s="6">
        <v>8000</v>
      </c>
    </row>
    <row r="51" spans="1:7" ht="15.75" x14ac:dyDescent="0.25">
      <c r="A51" s="3">
        <v>420420</v>
      </c>
      <c r="B51" s="4" t="s">
        <v>88</v>
      </c>
      <c r="C51" s="6">
        <v>19461.669999999998</v>
      </c>
      <c r="D51" s="6">
        <v>18723.13</v>
      </c>
      <c r="E51" s="6">
        <v>18579.740000000002</v>
      </c>
      <c r="F51" s="6">
        <v>18000</v>
      </c>
      <c r="G51" s="6">
        <v>20000</v>
      </c>
    </row>
    <row r="52" spans="1:7" ht="15.75" x14ac:dyDescent="0.25">
      <c r="A52" s="3">
        <v>420550</v>
      </c>
      <c r="B52" s="4" t="s">
        <v>89</v>
      </c>
      <c r="C52" s="6">
        <v>230635.74</v>
      </c>
      <c r="D52" s="6">
        <v>228937.49</v>
      </c>
      <c r="E52" s="6">
        <v>227749.61</v>
      </c>
      <c r="F52" s="6">
        <v>230000</v>
      </c>
      <c r="G52" s="6">
        <v>230000</v>
      </c>
    </row>
    <row r="53" spans="1:7" ht="15.75" x14ac:dyDescent="0.25">
      <c r="A53" s="3">
        <v>420900</v>
      </c>
      <c r="B53" s="4" t="s">
        <v>90</v>
      </c>
      <c r="C53" s="6">
        <v>11082</v>
      </c>
      <c r="D53" s="6">
        <v>1863</v>
      </c>
      <c r="E53" s="6">
        <v>1773</v>
      </c>
      <c r="F53" s="6">
        <v>5000</v>
      </c>
      <c r="G53" s="6">
        <v>5000</v>
      </c>
    </row>
    <row r="54" spans="1:7" ht="15.75" x14ac:dyDescent="0.25">
      <c r="A54" s="3">
        <v>430000</v>
      </c>
      <c r="B54" s="4" t="s">
        <v>91</v>
      </c>
      <c r="C54" s="6">
        <v>28006.07</v>
      </c>
      <c r="D54" s="6">
        <v>13199.38</v>
      </c>
      <c r="E54" s="6">
        <v>45866.93</v>
      </c>
      <c r="F54" s="6">
        <v>13000</v>
      </c>
      <c r="G54" s="6">
        <v>15000</v>
      </c>
    </row>
    <row r="55" spans="1:7" ht="15.75" x14ac:dyDescent="0.25">
      <c r="A55" s="3">
        <v>430100</v>
      </c>
      <c r="B55" s="4" t="s">
        <v>92</v>
      </c>
      <c r="C55" s="6">
        <v>-14450</v>
      </c>
      <c r="D55" s="6">
        <v>0</v>
      </c>
      <c r="E55" s="6">
        <v>1000</v>
      </c>
      <c r="F55" s="6">
        <v>0</v>
      </c>
      <c r="G55" s="6">
        <v>0</v>
      </c>
    </row>
    <row r="56" spans="1:7" ht="15.75" x14ac:dyDescent="0.25">
      <c r="A56" s="3">
        <v>430300</v>
      </c>
      <c r="B56" s="4" t="s">
        <v>93</v>
      </c>
      <c r="C56" s="6">
        <v>1020</v>
      </c>
      <c r="D56" s="6">
        <v>1140</v>
      </c>
      <c r="E56" s="6">
        <v>1740</v>
      </c>
      <c r="F56" s="6">
        <v>500</v>
      </c>
      <c r="G56" s="6">
        <v>500</v>
      </c>
    </row>
    <row r="57" spans="1:7" ht="15.75" x14ac:dyDescent="0.25">
      <c r="A57" s="3">
        <v>430400</v>
      </c>
      <c r="B57" s="4" t="s">
        <v>94</v>
      </c>
      <c r="C57" s="6">
        <v>21545</v>
      </c>
      <c r="D57" s="6">
        <v>109133.38</v>
      </c>
      <c r="E57" s="6">
        <v>65729</v>
      </c>
      <c r="F57" s="6">
        <v>0</v>
      </c>
      <c r="G57" s="6">
        <v>0</v>
      </c>
    </row>
    <row r="58" spans="1:7" ht="15.75" x14ac:dyDescent="0.25">
      <c r="A58" s="3">
        <v>430600</v>
      </c>
      <c r="B58" s="4" t="s">
        <v>95</v>
      </c>
      <c r="C58" s="6">
        <v>5028</v>
      </c>
      <c r="D58" s="6">
        <v>5241</v>
      </c>
      <c r="E58" s="6">
        <v>735</v>
      </c>
      <c r="F58" s="6">
        <v>0</v>
      </c>
      <c r="G58" s="6">
        <v>0</v>
      </c>
    </row>
    <row r="59" spans="1:7" ht="15.75" x14ac:dyDescent="0.25">
      <c r="A59" s="3">
        <v>430900</v>
      </c>
      <c r="B59" s="4" t="s">
        <v>96</v>
      </c>
      <c r="C59" s="6">
        <v>13234</v>
      </c>
      <c r="D59" s="6">
        <v>26800.47</v>
      </c>
      <c r="E59" s="6">
        <v>7416</v>
      </c>
      <c r="F59" s="6">
        <v>10000</v>
      </c>
      <c r="G59" s="6">
        <v>15500</v>
      </c>
    </row>
    <row r="60" spans="1:7" ht="15.75" x14ac:dyDescent="0.25">
      <c r="A60" s="3">
        <v>430950</v>
      </c>
      <c r="B60" s="4" t="s">
        <v>97</v>
      </c>
      <c r="C60" s="6">
        <v>19022.78</v>
      </c>
      <c r="D60" s="6">
        <v>13405</v>
      </c>
      <c r="E60" s="6">
        <v>0</v>
      </c>
      <c r="F60" s="6">
        <v>10000</v>
      </c>
      <c r="G60" s="6">
        <v>1000</v>
      </c>
    </row>
    <row r="61" spans="1:7" ht="15.75" x14ac:dyDescent="0.25">
      <c r="A61" s="3">
        <v>431000</v>
      </c>
      <c r="B61" s="4" t="s">
        <v>98</v>
      </c>
      <c r="C61" s="6">
        <v>23343</v>
      </c>
      <c r="D61" s="6">
        <v>13011</v>
      </c>
      <c r="E61" s="6">
        <v>11705.69</v>
      </c>
      <c r="F61" s="6">
        <v>10000</v>
      </c>
      <c r="G61" s="6">
        <v>12000</v>
      </c>
    </row>
    <row r="62" spans="1:7" ht="15.75" x14ac:dyDescent="0.25">
      <c r="A62" s="3">
        <v>431050</v>
      </c>
      <c r="B62" s="4" t="s">
        <v>99</v>
      </c>
      <c r="C62" s="6">
        <v>4100</v>
      </c>
      <c r="D62" s="6">
        <v>3495.65</v>
      </c>
      <c r="E62" s="6">
        <v>6007.79</v>
      </c>
      <c r="F62" s="6">
        <v>3000</v>
      </c>
      <c r="G62" s="6">
        <v>3000</v>
      </c>
    </row>
    <row r="63" spans="1:7" ht="15.75" x14ac:dyDescent="0.25">
      <c r="A63" s="3">
        <v>431100</v>
      </c>
      <c r="B63" s="4" t="s">
        <v>100</v>
      </c>
      <c r="C63" s="6">
        <v>4462.4799999999996</v>
      </c>
      <c r="D63" s="6">
        <v>5262.65</v>
      </c>
      <c r="E63" s="6">
        <v>66407.520000000004</v>
      </c>
      <c r="F63" s="6">
        <v>4000</v>
      </c>
      <c r="G63" s="6">
        <v>4000</v>
      </c>
    </row>
    <row r="64" spans="1:7" ht="15.75" x14ac:dyDescent="0.25">
      <c r="A64" s="3">
        <v>431200</v>
      </c>
      <c r="B64" s="4" t="s">
        <v>101</v>
      </c>
      <c r="C64" s="6">
        <v>468.21</v>
      </c>
      <c r="D64" s="6">
        <v>413.18</v>
      </c>
      <c r="E64" s="6">
        <v>324.19</v>
      </c>
      <c r="F64" s="6">
        <v>0</v>
      </c>
      <c r="G64" s="6">
        <v>0</v>
      </c>
    </row>
    <row r="65" spans="1:8" ht="15.75" x14ac:dyDescent="0.25">
      <c r="A65" s="3">
        <v>433100</v>
      </c>
      <c r="B65" s="4" t="s">
        <v>102</v>
      </c>
      <c r="C65" s="6">
        <v>465777.94</v>
      </c>
      <c r="D65" s="6">
        <v>485492.45</v>
      </c>
      <c r="E65" s="6">
        <v>532664.31000000006</v>
      </c>
      <c r="F65" s="6">
        <v>565000</v>
      </c>
      <c r="G65" s="6">
        <v>550000</v>
      </c>
    </row>
    <row r="66" spans="1:8" ht="15.75" x14ac:dyDescent="0.25">
      <c r="A66" s="3">
        <v>433200</v>
      </c>
      <c r="B66" s="4" t="s">
        <v>103</v>
      </c>
      <c r="C66" s="6">
        <v>6101.4</v>
      </c>
      <c r="D66" s="6">
        <v>5236.16</v>
      </c>
      <c r="E66" s="6">
        <v>3871.04</v>
      </c>
      <c r="F66" s="6">
        <v>5000</v>
      </c>
      <c r="G66" s="6">
        <v>5000</v>
      </c>
    </row>
    <row r="67" spans="1:8" ht="15.75" x14ac:dyDescent="0.25">
      <c r="A67" s="3">
        <v>433300</v>
      </c>
      <c r="B67" s="4" t="s">
        <v>104</v>
      </c>
      <c r="C67" s="6">
        <v>1470</v>
      </c>
      <c r="D67" s="6">
        <v>2595</v>
      </c>
      <c r="E67" s="6">
        <v>1350</v>
      </c>
      <c r="F67" s="6">
        <v>2000</v>
      </c>
      <c r="G67" s="6">
        <v>1000</v>
      </c>
    </row>
    <row r="68" spans="1:8" ht="15.75" x14ac:dyDescent="0.25">
      <c r="A68" s="3">
        <v>434000</v>
      </c>
      <c r="B68" s="4" t="s">
        <v>105</v>
      </c>
      <c r="C68" s="6">
        <v>148704</v>
      </c>
      <c r="D68" s="6">
        <v>163479</v>
      </c>
      <c r="E68" s="6">
        <v>171945</v>
      </c>
      <c r="F68" s="6">
        <v>150000</v>
      </c>
      <c r="G68" s="6">
        <v>150000</v>
      </c>
    </row>
    <row r="69" spans="1:8" ht="15.75" x14ac:dyDescent="0.25">
      <c r="A69" s="3">
        <v>434100</v>
      </c>
      <c r="B69" s="4" t="s">
        <v>106</v>
      </c>
      <c r="C69" s="6">
        <v>1006310.68</v>
      </c>
      <c r="D69" s="6">
        <v>1161622.72</v>
      </c>
      <c r="E69" s="6">
        <v>1264744.8799999999</v>
      </c>
      <c r="F69" s="6">
        <v>1354717</v>
      </c>
      <c r="G69" s="6">
        <v>1354717</v>
      </c>
    </row>
    <row r="70" spans="1:8" ht="15.75" x14ac:dyDescent="0.25">
      <c r="A70" s="3">
        <v>434200</v>
      </c>
      <c r="B70" s="4" t="s">
        <v>107</v>
      </c>
      <c r="C70" s="6">
        <v>3774</v>
      </c>
      <c r="D70" s="6">
        <v>4526</v>
      </c>
      <c r="E70" s="6">
        <v>5917</v>
      </c>
      <c r="F70" s="6">
        <v>3000</v>
      </c>
      <c r="G70" s="6">
        <v>3000</v>
      </c>
    </row>
    <row r="71" spans="1:8" ht="15.75" x14ac:dyDescent="0.25">
      <c r="A71" s="3">
        <v>435000</v>
      </c>
      <c r="B71" s="4" t="s">
        <v>108</v>
      </c>
      <c r="C71" s="6">
        <v>1829</v>
      </c>
      <c r="D71" s="6">
        <v>5682.09</v>
      </c>
      <c r="E71" s="6">
        <v>5042.84</v>
      </c>
      <c r="F71" s="6">
        <v>0</v>
      </c>
      <c r="G71" s="6">
        <v>0</v>
      </c>
    </row>
    <row r="72" spans="1:8" ht="15.75" x14ac:dyDescent="0.25">
      <c r="A72" s="3">
        <v>435200</v>
      </c>
      <c r="B72" s="4" t="s">
        <v>109</v>
      </c>
      <c r="C72" s="6">
        <v>56930.28</v>
      </c>
      <c r="D72" s="6">
        <v>80054.25</v>
      </c>
      <c r="E72" s="6">
        <v>286316.53999999998</v>
      </c>
      <c r="F72" s="6">
        <v>0</v>
      </c>
      <c r="G72" s="6">
        <v>53549</v>
      </c>
      <c r="H72" s="2" t="s">
        <v>395</v>
      </c>
    </row>
    <row r="73" spans="1:8" ht="15.75" x14ac:dyDescent="0.25">
      <c r="A73" s="3">
        <v>435310</v>
      </c>
      <c r="B73" s="4" t="s">
        <v>287</v>
      </c>
      <c r="C73" s="6">
        <v>0</v>
      </c>
      <c r="D73" s="6">
        <v>14825.6</v>
      </c>
      <c r="E73" s="6">
        <v>2875.93</v>
      </c>
      <c r="F73" s="6">
        <v>34500</v>
      </c>
      <c r="G73" s="6">
        <v>15000</v>
      </c>
    </row>
    <row r="74" spans="1:8" ht="15.75" x14ac:dyDescent="0.25">
      <c r="A74" s="3">
        <v>435400</v>
      </c>
      <c r="B74" s="4" t="s">
        <v>110</v>
      </c>
      <c r="C74" s="6">
        <v>76087</v>
      </c>
      <c r="D74" s="6">
        <v>76087</v>
      </c>
      <c r="E74" s="6">
        <v>76087</v>
      </c>
      <c r="F74" s="6">
        <v>76087</v>
      </c>
      <c r="G74" s="6">
        <v>76087</v>
      </c>
    </row>
    <row r="75" spans="1:8" ht="15.75" x14ac:dyDescent="0.25">
      <c r="A75" s="3">
        <v>435425</v>
      </c>
      <c r="B75" s="4" t="s">
        <v>111</v>
      </c>
      <c r="C75" s="6">
        <v>11651.84</v>
      </c>
      <c r="D75" s="6">
        <v>11893.59</v>
      </c>
      <c r="E75" s="6">
        <v>11612.36</v>
      </c>
      <c r="F75" s="6">
        <v>19000</v>
      </c>
      <c r="G75" s="6">
        <v>19000</v>
      </c>
    </row>
    <row r="76" spans="1:8" ht="15.75" x14ac:dyDescent="0.25">
      <c r="A76" s="3">
        <v>435450</v>
      </c>
      <c r="B76" s="4" t="s">
        <v>112</v>
      </c>
      <c r="C76" s="6">
        <v>25657.37</v>
      </c>
      <c r="D76" s="6">
        <v>19222.919999999998</v>
      </c>
      <c r="E76" s="6">
        <v>15819.64</v>
      </c>
      <c r="F76" s="6">
        <v>0</v>
      </c>
      <c r="G76" s="6">
        <v>0</v>
      </c>
    </row>
    <row r="77" spans="1:8" ht="15.75" x14ac:dyDescent="0.25">
      <c r="A77" s="3">
        <v>435500</v>
      </c>
      <c r="B77" s="4" t="s">
        <v>113</v>
      </c>
      <c r="C77" s="6">
        <v>130373.28</v>
      </c>
      <c r="D77" s="6">
        <v>80025.34</v>
      </c>
      <c r="E77" s="6">
        <v>61856.91</v>
      </c>
      <c r="F77" s="6">
        <v>0</v>
      </c>
      <c r="G77" s="6">
        <v>20000</v>
      </c>
    </row>
    <row r="78" spans="1:8" ht="15.75" x14ac:dyDescent="0.25">
      <c r="A78" s="3">
        <v>435550</v>
      </c>
      <c r="B78" s="4" t="s">
        <v>114</v>
      </c>
      <c r="C78" s="6">
        <v>23569</v>
      </c>
      <c r="D78" s="6">
        <v>30594.38</v>
      </c>
      <c r="E78" s="6">
        <v>24387</v>
      </c>
      <c r="F78" s="6">
        <v>25000</v>
      </c>
      <c r="G78" s="6">
        <v>25000</v>
      </c>
    </row>
    <row r="79" spans="1:8" ht="15.75" x14ac:dyDescent="0.25">
      <c r="A79" s="3">
        <v>460000</v>
      </c>
      <c r="B79" s="4" t="s">
        <v>115</v>
      </c>
      <c r="C79" s="6">
        <v>14368.02</v>
      </c>
      <c r="D79" s="6">
        <v>2729143.41</v>
      </c>
      <c r="E79" s="6">
        <v>15094.59</v>
      </c>
      <c r="F79" s="6">
        <v>14500</v>
      </c>
      <c r="G79" s="6">
        <v>14500</v>
      </c>
    </row>
    <row r="80" spans="1:8" ht="15.75" x14ac:dyDescent="0.25">
      <c r="A80" s="3">
        <v>460600</v>
      </c>
      <c r="B80" s="4" t="s">
        <v>116</v>
      </c>
      <c r="C80" s="6">
        <v>104013.69</v>
      </c>
      <c r="D80" s="6">
        <v>0</v>
      </c>
      <c r="E80" s="6">
        <v>0</v>
      </c>
      <c r="F80" s="6">
        <v>0</v>
      </c>
      <c r="G80" s="6">
        <v>0</v>
      </c>
    </row>
    <row r="81" spans="1:9" ht="30.75" x14ac:dyDescent="0.25">
      <c r="A81" s="3">
        <v>470000</v>
      </c>
      <c r="B81" s="4" t="s">
        <v>117</v>
      </c>
      <c r="C81" s="6">
        <v>438206</v>
      </c>
      <c r="D81" s="6">
        <v>428712</v>
      </c>
      <c r="E81" s="6">
        <f>488082+1</f>
        <v>488083</v>
      </c>
      <c r="F81" s="6">
        <f>725000-65000</f>
        <v>660000</v>
      </c>
      <c r="G81" s="6">
        <f>'WA TR PL'!G51+'WW TR PL'!G55+'Electric Dep'!G61+'W&amp;S LINE'!G47</f>
        <v>809492</v>
      </c>
      <c r="H81" s="97" t="s">
        <v>413</v>
      </c>
    </row>
    <row r="82" spans="1:9" ht="15.75" x14ac:dyDescent="0.25">
      <c r="A82" s="3">
        <v>471000</v>
      </c>
      <c r="B82" s="4" t="s">
        <v>118</v>
      </c>
      <c r="C82" s="6">
        <v>36707.699999999997</v>
      </c>
      <c r="D82" s="6">
        <v>47181.11</v>
      </c>
      <c r="E82" s="6">
        <v>63655</v>
      </c>
      <c r="F82" s="6">
        <f>'WA TR PL'!F52+'WW TR PL'!F56+'Electric Dep'!F62</f>
        <v>69200</v>
      </c>
      <c r="G82" s="6">
        <f>'WA TR PL'!G52+'WW TR PL'!G56+'Electric Dep'!G62</f>
        <v>49000</v>
      </c>
    </row>
    <row r="83" spans="1:9" ht="16.5" thickBot="1" x14ac:dyDescent="0.3">
      <c r="A83" s="3"/>
      <c r="B83" s="4" t="s">
        <v>293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</row>
    <row r="84" spans="1:9" s="76" customFormat="1" ht="19.5" thickBot="1" x14ac:dyDescent="0.35">
      <c r="A84" s="139" t="s">
        <v>294</v>
      </c>
      <c r="B84" s="140"/>
      <c r="C84" s="75">
        <f>SUM(C6:C83)</f>
        <v>7198803.8900000015</v>
      </c>
      <c r="D84" s="75">
        <v>10268393.759999998</v>
      </c>
      <c r="E84" s="75">
        <f>SUM(E6:E83)</f>
        <v>8233651.4300000006</v>
      </c>
      <c r="F84" s="75">
        <f>SUM(F6:F83)</f>
        <v>7884504</v>
      </c>
      <c r="G84" s="75">
        <f>SUM(G6:G83)</f>
        <v>8431396.5600000005</v>
      </c>
      <c r="I84" s="88"/>
    </row>
    <row r="89" spans="1:9" ht="15.75" x14ac:dyDescent="0.25">
      <c r="F89"/>
      <c r="G89"/>
    </row>
    <row r="90" spans="1:9" ht="15.75" x14ac:dyDescent="0.25">
      <c r="F90"/>
      <c r="G90"/>
    </row>
    <row r="91" spans="1:9" ht="15.75" x14ac:dyDescent="0.25">
      <c r="F91"/>
      <c r="G91"/>
    </row>
    <row r="92" spans="1:9" ht="15.75" x14ac:dyDescent="0.25">
      <c r="F92"/>
      <c r="G92"/>
    </row>
  </sheetData>
  <mergeCells count="3">
    <mergeCell ref="A84:B84"/>
    <mergeCell ref="A4:G4"/>
    <mergeCell ref="A1:G1"/>
  </mergeCells>
  <pageMargins left="0.45" right="0.45" top="0.75" bottom="0.75" header="0.3" footer="0.3"/>
  <pageSetup scale="61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C6006-3F4F-4AE8-A9BB-121A5F1E2A9D}">
  <dimension ref="A1:F107"/>
  <sheetViews>
    <sheetView topLeftCell="A7" workbookViewId="0">
      <selection activeCell="A30" sqref="A30:XFD30"/>
    </sheetView>
  </sheetViews>
  <sheetFormatPr defaultColWidth="9.140625" defaultRowHeight="15" x14ac:dyDescent="0.2"/>
  <cols>
    <col min="1" max="1" width="21" style="2" customWidth="1"/>
    <col min="2" max="2" width="53.28515625" style="2" bestFit="1" customWidth="1"/>
    <col min="3" max="6" width="21" style="2" customWidth="1"/>
    <col min="7" max="8" width="9.140625" style="2"/>
    <col min="9" max="10" width="11.5703125" style="2" bestFit="1" customWidth="1"/>
    <col min="11" max="16384" width="9.140625" style="2"/>
  </cols>
  <sheetData>
    <row r="1" spans="1:6" ht="34.5" x14ac:dyDescent="0.45">
      <c r="A1" s="144" t="s">
        <v>50</v>
      </c>
      <c r="B1" s="144"/>
      <c r="C1" s="144"/>
      <c r="D1" s="144"/>
      <c r="E1" s="144"/>
      <c r="F1" s="144"/>
    </row>
    <row r="2" spans="1:6" x14ac:dyDescent="0.2">
      <c r="A2" s="145"/>
      <c r="B2" s="145"/>
      <c r="C2" s="145"/>
      <c r="D2" s="145"/>
      <c r="E2" s="145"/>
      <c r="F2" s="145"/>
    </row>
    <row r="4" spans="1:6" ht="15.75" thickBot="1" x14ac:dyDescent="0.25">
      <c r="A4" s="1" t="s">
        <v>51</v>
      </c>
      <c r="B4" s="1"/>
      <c r="C4" s="1"/>
      <c r="D4" s="1"/>
      <c r="E4" s="1"/>
      <c r="F4" s="1"/>
    </row>
    <row r="5" spans="1:6" ht="31.5" x14ac:dyDescent="0.2">
      <c r="A5" s="5" t="s">
        <v>1</v>
      </c>
      <c r="B5" s="5" t="s">
        <v>2</v>
      </c>
      <c r="C5" s="5" t="s">
        <v>6</v>
      </c>
      <c r="D5" s="5" t="s">
        <v>5</v>
      </c>
      <c r="E5" s="5" t="s">
        <v>4</v>
      </c>
      <c r="F5" s="5" t="s">
        <v>3</v>
      </c>
    </row>
    <row r="6" spans="1:6" ht="15.75" x14ac:dyDescent="0.25">
      <c r="A6" s="3">
        <v>410000</v>
      </c>
      <c r="B6" s="4" t="s">
        <v>52</v>
      </c>
      <c r="C6" s="6">
        <v>531084.09</v>
      </c>
      <c r="D6" s="6">
        <v>527196.91</v>
      </c>
      <c r="E6" s="6">
        <v>535000</v>
      </c>
      <c r="F6" s="6">
        <v>535000</v>
      </c>
    </row>
    <row r="7" spans="1:6" ht="15.75" x14ac:dyDescent="0.25">
      <c r="A7" s="3">
        <v>410050</v>
      </c>
      <c r="B7" s="4" t="s">
        <v>53</v>
      </c>
      <c r="C7" s="6">
        <v>29439.39</v>
      </c>
      <c r="D7" s="6">
        <v>-728.39</v>
      </c>
      <c r="E7" s="6">
        <v>20000</v>
      </c>
      <c r="F7" s="6">
        <v>20000</v>
      </c>
    </row>
    <row r="8" spans="1:6" ht="15.75" x14ac:dyDescent="0.25">
      <c r="A8" s="3">
        <v>410100</v>
      </c>
      <c r="B8" s="4" t="s">
        <v>54</v>
      </c>
      <c r="C8" s="6">
        <v>2611.6799999999998</v>
      </c>
      <c r="D8" s="6">
        <v>-1200.28</v>
      </c>
      <c r="E8" s="6">
        <v>1000</v>
      </c>
      <c r="F8" s="6">
        <v>1000</v>
      </c>
    </row>
    <row r="9" spans="1:6" ht="15.75" x14ac:dyDescent="0.25">
      <c r="A9" s="3">
        <v>410200</v>
      </c>
      <c r="B9" s="4" t="s">
        <v>55</v>
      </c>
      <c r="C9" s="6">
        <v>15953.14</v>
      </c>
      <c r="D9" s="6">
        <v>21516.32</v>
      </c>
      <c r="E9" s="6">
        <v>20000</v>
      </c>
      <c r="F9" s="6">
        <v>20000</v>
      </c>
    </row>
    <row r="10" spans="1:6" ht="15.75" x14ac:dyDescent="0.25">
      <c r="A10" s="3">
        <v>410300</v>
      </c>
      <c r="B10" s="4" t="s">
        <v>56</v>
      </c>
      <c r="C10" s="6">
        <v>2055.19</v>
      </c>
      <c r="D10" s="6">
        <v>2720.11</v>
      </c>
      <c r="E10" s="6">
        <v>2000</v>
      </c>
      <c r="F10" s="6">
        <v>2000</v>
      </c>
    </row>
    <row r="11" spans="1:6" ht="15.75" x14ac:dyDescent="0.25">
      <c r="A11" s="3">
        <v>410350</v>
      </c>
      <c r="B11" s="4" t="s">
        <v>57</v>
      </c>
      <c r="C11" s="6">
        <v>2547.91</v>
      </c>
      <c r="D11" s="6">
        <v>4206.47</v>
      </c>
      <c r="E11" s="6">
        <v>5000</v>
      </c>
      <c r="F11" s="6">
        <v>5000</v>
      </c>
    </row>
    <row r="12" spans="1:6" ht="15.75" x14ac:dyDescent="0.25">
      <c r="A12" s="3">
        <v>410400</v>
      </c>
      <c r="B12" s="4" t="s">
        <v>58</v>
      </c>
      <c r="C12" s="6">
        <v>47893.75</v>
      </c>
      <c r="D12" s="6">
        <v>43294.31</v>
      </c>
      <c r="E12" s="6">
        <v>46000</v>
      </c>
      <c r="F12" s="6">
        <v>46000</v>
      </c>
    </row>
    <row r="13" spans="1:6" ht="15.75" x14ac:dyDescent="0.25">
      <c r="A13" s="53">
        <v>410500</v>
      </c>
      <c r="B13" s="54" t="s">
        <v>281</v>
      </c>
      <c r="C13" s="29">
        <v>0</v>
      </c>
      <c r="D13" s="29">
        <v>-373.87</v>
      </c>
      <c r="E13" s="29">
        <v>0</v>
      </c>
      <c r="F13" s="29">
        <v>0</v>
      </c>
    </row>
    <row r="14" spans="1:6" ht="16.5" thickBot="1" x14ac:dyDescent="0.3">
      <c r="A14" s="146" t="s">
        <v>315</v>
      </c>
      <c r="B14" s="147"/>
      <c r="C14" s="57">
        <f>SUM(C6:C13)</f>
        <v>631585.15</v>
      </c>
      <c r="D14" s="57">
        <f>SUM(D6:D13)</f>
        <v>596631.57999999996</v>
      </c>
      <c r="E14" s="57">
        <f>SUM(E6:E13)</f>
        <v>629000</v>
      </c>
      <c r="F14" s="57">
        <f>SUM(F6:F13)</f>
        <v>629000</v>
      </c>
    </row>
    <row r="15" spans="1:6" ht="16.5" thickTop="1" x14ac:dyDescent="0.25">
      <c r="A15" s="55"/>
      <c r="B15" s="56"/>
      <c r="C15" s="6"/>
      <c r="D15" s="6"/>
      <c r="E15" s="6"/>
      <c r="F15" s="6"/>
    </row>
    <row r="16" spans="1:6" ht="15.75" x14ac:dyDescent="0.25">
      <c r="A16" s="3">
        <v>411000</v>
      </c>
      <c r="B16" s="4" t="s">
        <v>59</v>
      </c>
      <c r="C16" s="6">
        <v>245304.28</v>
      </c>
      <c r="D16" s="6">
        <v>241347.53</v>
      </c>
      <c r="E16" s="6">
        <v>173000</v>
      </c>
      <c r="F16" s="38">
        <v>225000</v>
      </c>
    </row>
    <row r="17" spans="1:6" ht="15.75" x14ac:dyDescent="0.25">
      <c r="A17" s="3"/>
      <c r="B17" s="4" t="s">
        <v>292</v>
      </c>
      <c r="C17" s="6">
        <v>0</v>
      </c>
      <c r="D17" s="6">
        <v>0</v>
      </c>
      <c r="E17" s="6">
        <v>5000</v>
      </c>
      <c r="F17" s="6">
        <v>5000</v>
      </c>
    </row>
    <row r="18" spans="1:6" ht="15.75" x14ac:dyDescent="0.25">
      <c r="A18" s="3">
        <v>411100</v>
      </c>
      <c r="B18" s="4" t="s">
        <v>295</v>
      </c>
      <c r="C18" s="6">
        <v>915343.67</v>
      </c>
      <c r="D18" s="6">
        <v>1015729.39</v>
      </c>
      <c r="E18" s="6">
        <v>906500</v>
      </c>
      <c r="F18" s="38">
        <v>1050000</v>
      </c>
    </row>
    <row r="19" spans="1:6" ht="15.75" x14ac:dyDescent="0.25">
      <c r="A19" s="3">
        <v>411200</v>
      </c>
      <c r="B19" s="4" t="s">
        <v>60</v>
      </c>
      <c r="C19" s="6">
        <v>548988.69999999995</v>
      </c>
      <c r="D19" s="6">
        <v>579330.53</v>
      </c>
      <c r="E19" s="6">
        <v>500000</v>
      </c>
      <c r="F19" s="38">
        <v>575000</v>
      </c>
    </row>
    <row r="20" spans="1:6" ht="15.75" x14ac:dyDescent="0.25">
      <c r="A20" s="3">
        <v>411300</v>
      </c>
      <c r="B20" s="4" t="s">
        <v>61</v>
      </c>
      <c r="C20" s="6">
        <v>31460.26</v>
      </c>
      <c r="D20" s="6">
        <v>36118.54</v>
      </c>
      <c r="E20" s="6">
        <v>30000</v>
      </c>
      <c r="F20" s="38">
        <v>35000</v>
      </c>
    </row>
    <row r="21" spans="1:6" ht="15.75" x14ac:dyDescent="0.25">
      <c r="A21" s="3">
        <v>411400</v>
      </c>
      <c r="B21" s="4" t="s">
        <v>62</v>
      </c>
      <c r="C21" s="6">
        <v>7903.95</v>
      </c>
      <c r="D21" s="6">
        <v>8666.5300000000007</v>
      </c>
      <c r="E21" s="6">
        <v>8000</v>
      </c>
      <c r="F21" s="6">
        <v>8000</v>
      </c>
    </row>
    <row r="22" spans="1:6" ht="15.75" x14ac:dyDescent="0.25">
      <c r="A22" s="3">
        <v>411450</v>
      </c>
      <c r="B22" s="4" t="s">
        <v>63</v>
      </c>
      <c r="C22" s="6">
        <v>92238.46</v>
      </c>
      <c r="D22" s="6">
        <v>80597.37</v>
      </c>
      <c r="E22" s="6">
        <v>155000</v>
      </c>
      <c r="F22" s="38">
        <v>0</v>
      </c>
    </row>
    <row r="23" spans="1:6" ht="15.75" x14ac:dyDescent="0.25">
      <c r="A23" s="3">
        <v>411500</v>
      </c>
      <c r="B23" s="4" t="s">
        <v>64</v>
      </c>
      <c r="C23" s="6">
        <v>151080.54</v>
      </c>
      <c r="D23" s="6">
        <v>186582.94</v>
      </c>
      <c r="E23" s="6">
        <v>200000</v>
      </c>
      <c r="F23" s="6">
        <v>200000</v>
      </c>
    </row>
    <row r="24" spans="1:6" ht="15.75" x14ac:dyDescent="0.25">
      <c r="A24" s="3">
        <v>411550</v>
      </c>
      <c r="B24" s="4" t="s">
        <v>282</v>
      </c>
      <c r="C24" s="6">
        <v>0</v>
      </c>
      <c r="D24" s="6">
        <v>5674.41</v>
      </c>
      <c r="E24" s="6">
        <v>1000</v>
      </c>
      <c r="F24" s="6">
        <v>1000</v>
      </c>
    </row>
    <row r="25" spans="1:6" ht="15.75" x14ac:dyDescent="0.25">
      <c r="A25" s="3">
        <v>411650</v>
      </c>
      <c r="B25" s="4" t="s">
        <v>283</v>
      </c>
      <c r="C25" s="6">
        <v>0</v>
      </c>
      <c r="D25" s="6">
        <v>518.49</v>
      </c>
      <c r="E25" s="6"/>
      <c r="F25" s="6"/>
    </row>
    <row r="26" spans="1:6" ht="15.75" x14ac:dyDescent="0.25">
      <c r="A26" s="3">
        <v>411750</v>
      </c>
      <c r="B26" s="4" t="s">
        <v>284</v>
      </c>
      <c r="C26" s="6">
        <v>0</v>
      </c>
      <c r="D26" s="6">
        <v>179.75</v>
      </c>
      <c r="E26" s="6"/>
      <c r="F26" s="6"/>
    </row>
    <row r="27" spans="1:6" ht="16.5" thickBot="1" x14ac:dyDescent="0.3">
      <c r="A27" s="146" t="s">
        <v>316</v>
      </c>
      <c r="B27" s="147"/>
      <c r="C27" s="57">
        <f>SUM(C16:C26)</f>
        <v>1992319.8599999999</v>
      </c>
      <c r="D27" s="57">
        <f>SUM(D16:D26)</f>
        <v>2154745.4800000004</v>
      </c>
      <c r="E27" s="57">
        <f>SUM(E16:E26)</f>
        <v>1978500</v>
      </c>
      <c r="F27" s="57">
        <f>SUM(F16:F26)</f>
        <v>2099000</v>
      </c>
    </row>
    <row r="28" spans="1:6" ht="16.5" thickTop="1" x14ac:dyDescent="0.25">
      <c r="A28" s="3"/>
      <c r="B28" s="4"/>
      <c r="C28" s="6"/>
      <c r="D28" s="6"/>
      <c r="E28" s="6"/>
      <c r="F28" s="6"/>
    </row>
    <row r="29" spans="1:6" ht="15.75" x14ac:dyDescent="0.25">
      <c r="A29" s="3">
        <v>412000</v>
      </c>
      <c r="B29" s="4" t="s">
        <v>65</v>
      </c>
      <c r="C29" s="6">
        <v>1140</v>
      </c>
      <c r="D29" s="6">
        <v>1485</v>
      </c>
      <c r="E29" s="6">
        <v>1000</v>
      </c>
      <c r="F29" s="6">
        <v>1000</v>
      </c>
    </row>
    <row r="30" spans="1:6" ht="16.5" thickBot="1" x14ac:dyDescent="0.3">
      <c r="A30" s="146" t="s">
        <v>317</v>
      </c>
      <c r="B30" s="147"/>
      <c r="C30" s="57">
        <f>SUM(C29)</f>
        <v>1140</v>
      </c>
      <c r="D30" s="57">
        <f>SUM(D29)</f>
        <v>1485</v>
      </c>
      <c r="E30" s="57">
        <f>SUM(E29)</f>
        <v>1000</v>
      </c>
      <c r="F30" s="57">
        <f>SUM(F29)</f>
        <v>1000</v>
      </c>
    </row>
    <row r="31" spans="1:6" ht="16.5" thickTop="1" x14ac:dyDescent="0.25">
      <c r="A31" s="3"/>
      <c r="B31" s="4"/>
      <c r="C31" s="6"/>
      <c r="D31" s="6"/>
      <c r="E31" s="6"/>
      <c r="F31" s="6"/>
    </row>
    <row r="32" spans="1:6" ht="15.75" x14ac:dyDescent="0.25">
      <c r="A32" s="3">
        <v>413000</v>
      </c>
      <c r="B32" s="4" t="s">
        <v>66</v>
      </c>
      <c r="C32" s="6">
        <v>26269.42</v>
      </c>
      <c r="D32" s="6">
        <v>29052.080000000002</v>
      </c>
      <c r="E32" s="6">
        <v>30000</v>
      </c>
      <c r="F32" s="6">
        <v>30000</v>
      </c>
    </row>
    <row r="33" spans="1:6" ht="15.75" x14ac:dyDescent="0.25">
      <c r="A33" s="3">
        <v>413050</v>
      </c>
      <c r="B33" s="4" t="s">
        <v>67</v>
      </c>
      <c r="C33" s="6">
        <v>2805.24</v>
      </c>
      <c r="D33" s="6">
        <v>2566.5500000000002</v>
      </c>
      <c r="E33" s="6">
        <v>500</v>
      </c>
      <c r="F33" s="6"/>
    </row>
    <row r="34" spans="1:6" ht="15.75" x14ac:dyDescent="0.25">
      <c r="A34" s="3">
        <v>413100</v>
      </c>
      <c r="B34" s="4" t="s">
        <v>285</v>
      </c>
      <c r="C34" s="6">
        <v>0</v>
      </c>
      <c r="D34" s="6">
        <v>975</v>
      </c>
      <c r="E34" s="6">
        <v>600</v>
      </c>
      <c r="F34" s="6">
        <v>600</v>
      </c>
    </row>
    <row r="35" spans="1:6" ht="15.75" x14ac:dyDescent="0.25">
      <c r="A35" s="3"/>
      <c r="B35" s="4"/>
      <c r="C35" s="6"/>
      <c r="D35" s="6"/>
      <c r="E35" s="6"/>
      <c r="F35" s="6"/>
    </row>
    <row r="36" spans="1:6" ht="15.75" x14ac:dyDescent="0.25">
      <c r="A36" s="3">
        <v>413300</v>
      </c>
      <c r="B36" s="4" t="s">
        <v>68</v>
      </c>
      <c r="C36" s="6">
        <v>2306.5100000000002</v>
      </c>
      <c r="D36" s="6">
        <v>3522.59</v>
      </c>
      <c r="E36" s="6"/>
      <c r="F36" s="6">
        <v>0</v>
      </c>
    </row>
    <row r="37" spans="1:6" ht="15.75" x14ac:dyDescent="0.25">
      <c r="A37" s="3">
        <v>413400</v>
      </c>
      <c r="B37" s="4" t="s">
        <v>69</v>
      </c>
      <c r="C37" s="6">
        <v>4530.34</v>
      </c>
      <c r="D37" s="6">
        <v>5780.9</v>
      </c>
      <c r="E37" s="6">
        <v>2000</v>
      </c>
      <c r="F37" s="38">
        <v>5000</v>
      </c>
    </row>
    <row r="38" spans="1:6" ht="15.75" x14ac:dyDescent="0.25">
      <c r="A38" s="3">
        <v>413900</v>
      </c>
      <c r="B38" s="4" t="s">
        <v>70</v>
      </c>
      <c r="C38" s="6">
        <v>5771.8</v>
      </c>
      <c r="D38" s="6">
        <v>3997</v>
      </c>
      <c r="E38" s="6">
        <v>20000</v>
      </c>
      <c r="F38" s="38">
        <v>10000</v>
      </c>
    </row>
    <row r="39" spans="1:6" ht="15.75" x14ac:dyDescent="0.25">
      <c r="A39" s="3">
        <v>413950</v>
      </c>
      <c r="B39" s="4" t="s">
        <v>71</v>
      </c>
      <c r="C39" s="6">
        <v>15000</v>
      </c>
      <c r="D39" s="6">
        <v>0</v>
      </c>
      <c r="E39" s="6">
        <v>0</v>
      </c>
      <c r="F39" s="6">
        <v>0</v>
      </c>
    </row>
    <row r="40" spans="1:6" ht="15.75" x14ac:dyDescent="0.25">
      <c r="A40" s="3"/>
      <c r="B40" s="4"/>
      <c r="C40" s="6"/>
      <c r="D40" s="6"/>
      <c r="E40" s="6"/>
      <c r="F40" s="6"/>
    </row>
    <row r="41" spans="1:6" ht="15.75" x14ac:dyDescent="0.25">
      <c r="A41" s="3">
        <v>414100</v>
      </c>
      <c r="B41" s="4" t="s">
        <v>72</v>
      </c>
      <c r="C41" s="6">
        <v>260000</v>
      </c>
      <c r="D41" s="6">
        <v>260000</v>
      </c>
      <c r="E41" s="6">
        <v>270000</v>
      </c>
      <c r="F41" s="6">
        <v>270000</v>
      </c>
    </row>
    <row r="42" spans="1:6" ht="15.75" x14ac:dyDescent="0.25">
      <c r="A42" s="27">
        <v>414125</v>
      </c>
      <c r="B42" s="28" t="s">
        <v>73</v>
      </c>
      <c r="C42" s="29">
        <v>738772.09</v>
      </c>
      <c r="D42" s="6">
        <v>808909.52</v>
      </c>
      <c r="E42" s="6">
        <v>700000</v>
      </c>
      <c r="F42" s="38">
        <v>800000</v>
      </c>
    </row>
    <row r="43" spans="1:6" ht="15.75" x14ac:dyDescent="0.25">
      <c r="A43" s="27">
        <v>414130</v>
      </c>
      <c r="B43" s="28" t="s">
        <v>74</v>
      </c>
      <c r="C43" s="29">
        <v>11524.58</v>
      </c>
      <c r="D43" s="6">
        <v>6873.34</v>
      </c>
      <c r="E43" s="6">
        <v>6000</v>
      </c>
      <c r="F43" s="6">
        <v>6000</v>
      </c>
    </row>
    <row r="44" spans="1:6" ht="15.75" x14ac:dyDescent="0.25">
      <c r="A44" s="27"/>
      <c r="B44" s="28"/>
      <c r="C44" s="29"/>
      <c r="D44" s="6"/>
      <c r="E44" s="6"/>
      <c r="F44" s="6"/>
    </row>
    <row r="45" spans="1:6" ht="15.75" x14ac:dyDescent="0.25">
      <c r="A45" s="27">
        <v>414150</v>
      </c>
      <c r="B45" s="28" t="s">
        <v>75</v>
      </c>
      <c r="C45" s="29">
        <v>15045</v>
      </c>
      <c r="D45" s="6">
        <v>13703</v>
      </c>
      <c r="E45" s="6">
        <v>12000</v>
      </c>
      <c r="F45" s="38">
        <v>15000</v>
      </c>
    </row>
    <row r="46" spans="1:6" ht="15.75" x14ac:dyDescent="0.25">
      <c r="A46" s="27">
        <v>414200</v>
      </c>
      <c r="B46" s="28" t="s">
        <v>76</v>
      </c>
      <c r="C46" s="29">
        <v>18808.5</v>
      </c>
      <c r="D46" s="6">
        <v>19148.36</v>
      </c>
      <c r="E46" s="6">
        <v>15000</v>
      </c>
      <c r="F46" s="38">
        <v>25000</v>
      </c>
    </row>
    <row r="47" spans="1:6" ht="15.75" x14ac:dyDescent="0.25">
      <c r="A47" s="27">
        <v>414250</v>
      </c>
      <c r="B47" s="28" t="s">
        <v>77</v>
      </c>
      <c r="C47" s="29">
        <v>5349</v>
      </c>
      <c r="D47" s="6">
        <v>21371</v>
      </c>
      <c r="E47" s="6">
        <v>7500</v>
      </c>
      <c r="F47" s="38">
        <v>20000</v>
      </c>
    </row>
    <row r="48" spans="1:6" ht="15.75" x14ac:dyDescent="0.25">
      <c r="A48" s="27">
        <v>414300</v>
      </c>
      <c r="B48" s="28" t="s">
        <v>286</v>
      </c>
      <c r="C48" s="29">
        <v>0</v>
      </c>
      <c r="D48" s="6">
        <v>6</v>
      </c>
      <c r="E48" s="6">
        <v>0</v>
      </c>
      <c r="F48" s="6">
        <v>0</v>
      </c>
    </row>
    <row r="49" spans="1:6" ht="15.75" x14ac:dyDescent="0.25">
      <c r="A49" s="27">
        <v>414350</v>
      </c>
      <c r="B49" s="28" t="s">
        <v>78</v>
      </c>
      <c r="C49" s="29">
        <v>455.5</v>
      </c>
      <c r="D49" s="6">
        <v>309</v>
      </c>
      <c r="E49" s="6">
        <v>100</v>
      </c>
      <c r="F49" s="6">
        <v>100</v>
      </c>
    </row>
    <row r="50" spans="1:6" ht="15.75" x14ac:dyDescent="0.25">
      <c r="A50" s="27">
        <v>414400</v>
      </c>
      <c r="B50" s="28" t="s">
        <v>79</v>
      </c>
      <c r="C50" s="29">
        <v>605</v>
      </c>
      <c r="D50" s="6">
        <v>755</v>
      </c>
      <c r="E50" s="6">
        <v>250</v>
      </c>
      <c r="F50" s="38">
        <v>10000</v>
      </c>
    </row>
    <row r="51" spans="1:6" ht="15.75" x14ac:dyDescent="0.25">
      <c r="A51" s="27">
        <v>414425</v>
      </c>
      <c r="B51" s="28" t="s">
        <v>80</v>
      </c>
      <c r="C51" s="29">
        <v>1952</v>
      </c>
      <c r="D51" s="6">
        <v>1821</v>
      </c>
      <c r="E51" s="6">
        <v>1000</v>
      </c>
      <c r="F51" s="6">
        <v>1000</v>
      </c>
    </row>
    <row r="52" spans="1:6" ht="15.75" x14ac:dyDescent="0.25">
      <c r="A52" s="27">
        <v>414450</v>
      </c>
      <c r="B52" s="28" t="s">
        <v>81</v>
      </c>
      <c r="C52" s="29">
        <v>4640</v>
      </c>
      <c r="D52" s="6">
        <v>3730</v>
      </c>
      <c r="E52" s="6">
        <v>2000</v>
      </c>
      <c r="F52" s="38">
        <v>4000</v>
      </c>
    </row>
    <row r="53" spans="1:6" ht="15.75" x14ac:dyDescent="0.25">
      <c r="A53" s="27">
        <v>414475</v>
      </c>
      <c r="B53" s="28" t="s">
        <v>82</v>
      </c>
      <c r="C53" s="29">
        <v>805</v>
      </c>
      <c r="D53" s="6">
        <v>800</v>
      </c>
      <c r="E53" s="6">
        <v>500</v>
      </c>
      <c r="F53" s="38">
        <v>800</v>
      </c>
    </row>
    <row r="54" spans="1:6" ht="15.75" x14ac:dyDescent="0.25">
      <c r="A54" s="27">
        <v>414500</v>
      </c>
      <c r="B54" s="28" t="s">
        <v>83</v>
      </c>
      <c r="C54" s="29">
        <v>1980</v>
      </c>
      <c r="D54" s="6">
        <v>6967.56</v>
      </c>
      <c r="E54" s="6">
        <v>1000</v>
      </c>
      <c r="F54" s="38">
        <v>2500</v>
      </c>
    </row>
    <row r="55" spans="1:6" ht="15.75" x14ac:dyDescent="0.25">
      <c r="A55" s="27">
        <v>414525</v>
      </c>
      <c r="B55" s="28" t="s">
        <v>84</v>
      </c>
      <c r="C55" s="29">
        <v>710</v>
      </c>
      <c r="D55" s="6">
        <v>3088</v>
      </c>
      <c r="E55" s="6">
        <v>0</v>
      </c>
      <c r="F55" s="38">
        <v>1000</v>
      </c>
    </row>
    <row r="56" spans="1:6" ht="15.75" x14ac:dyDescent="0.25">
      <c r="A56" s="27">
        <v>414550</v>
      </c>
      <c r="B56" s="28" t="s">
        <v>85</v>
      </c>
      <c r="C56" s="29">
        <v>10080</v>
      </c>
      <c r="D56" s="6">
        <v>7552</v>
      </c>
      <c r="E56" s="6">
        <v>8000</v>
      </c>
      <c r="F56" s="38">
        <v>10000</v>
      </c>
    </row>
    <row r="57" spans="1:6" ht="15.75" x14ac:dyDescent="0.25">
      <c r="A57" s="27"/>
      <c r="B57" s="28"/>
      <c r="C57" s="29"/>
      <c r="D57" s="6"/>
      <c r="E57" s="6"/>
      <c r="F57" s="38"/>
    </row>
    <row r="58" spans="1:6" ht="15.75" x14ac:dyDescent="0.25">
      <c r="A58" s="27">
        <v>420150</v>
      </c>
      <c r="B58" s="28" t="s">
        <v>86</v>
      </c>
      <c r="C58" s="29">
        <v>519844.45</v>
      </c>
      <c r="D58" s="6">
        <v>518002.47</v>
      </c>
      <c r="E58" s="6">
        <v>580000</v>
      </c>
      <c r="F58" s="38">
        <v>655000</v>
      </c>
    </row>
    <row r="59" spans="1:6" ht="15.75" x14ac:dyDescent="0.25">
      <c r="A59" s="27"/>
      <c r="B59" s="28"/>
      <c r="C59" s="29"/>
      <c r="D59" s="6"/>
      <c r="E59" s="6"/>
      <c r="F59" s="38"/>
    </row>
    <row r="60" spans="1:6" ht="15.75" x14ac:dyDescent="0.25">
      <c r="A60" s="27">
        <v>420200</v>
      </c>
      <c r="B60" s="28" t="s">
        <v>87</v>
      </c>
      <c r="C60" s="29">
        <v>8014.3</v>
      </c>
      <c r="D60" s="6">
        <v>9602.98</v>
      </c>
      <c r="E60" s="6">
        <v>6000</v>
      </c>
      <c r="F60" s="38">
        <v>8000</v>
      </c>
    </row>
    <row r="61" spans="1:6" ht="15.75" x14ac:dyDescent="0.25">
      <c r="A61" s="27">
        <v>420420</v>
      </c>
      <c r="B61" s="28" t="s">
        <v>88</v>
      </c>
      <c r="C61" s="29">
        <v>19461.669999999998</v>
      </c>
      <c r="D61" s="6">
        <v>18723.13</v>
      </c>
      <c r="E61" s="6">
        <v>16000</v>
      </c>
      <c r="F61" s="38">
        <v>18000</v>
      </c>
    </row>
    <row r="62" spans="1:6" ht="15.75" x14ac:dyDescent="0.25">
      <c r="A62" s="27">
        <v>420550</v>
      </c>
      <c r="B62" s="28" t="s">
        <v>89</v>
      </c>
      <c r="C62" s="29">
        <v>230635.74</v>
      </c>
      <c r="D62" s="6">
        <v>228937.49</v>
      </c>
      <c r="E62" s="6">
        <v>270000</v>
      </c>
      <c r="F62" s="42">
        <v>230000</v>
      </c>
    </row>
    <row r="63" spans="1:6" ht="15.75" x14ac:dyDescent="0.25">
      <c r="A63" s="27">
        <v>420900</v>
      </c>
      <c r="B63" s="28" t="s">
        <v>90</v>
      </c>
      <c r="C63" s="29">
        <v>11082</v>
      </c>
      <c r="D63" s="6">
        <v>1863</v>
      </c>
      <c r="E63" s="6">
        <v>5000</v>
      </c>
      <c r="F63" s="6">
        <v>5000</v>
      </c>
    </row>
    <row r="64" spans="1:6" ht="15.75" x14ac:dyDescent="0.25">
      <c r="A64" s="27">
        <v>430000</v>
      </c>
      <c r="B64" s="28" t="s">
        <v>91</v>
      </c>
      <c r="C64" s="29">
        <v>28006.07</v>
      </c>
      <c r="D64" s="6">
        <v>13199.38</v>
      </c>
      <c r="E64" s="6">
        <v>10000</v>
      </c>
      <c r="F64" s="38">
        <v>13000</v>
      </c>
    </row>
    <row r="65" spans="1:6" ht="15.75" x14ac:dyDescent="0.25">
      <c r="A65" s="27">
        <v>430300</v>
      </c>
      <c r="B65" s="28" t="s">
        <v>93</v>
      </c>
      <c r="C65" s="29">
        <v>1020</v>
      </c>
      <c r="D65" s="6">
        <v>1140</v>
      </c>
      <c r="E65" s="6">
        <v>500</v>
      </c>
      <c r="F65" s="6">
        <v>500</v>
      </c>
    </row>
    <row r="66" spans="1:6" ht="15.75" x14ac:dyDescent="0.25">
      <c r="A66" s="27"/>
      <c r="B66" s="28"/>
      <c r="C66" s="29"/>
      <c r="D66" s="6"/>
      <c r="E66" s="6"/>
      <c r="F66" s="6"/>
    </row>
    <row r="67" spans="1:6" ht="15.75" x14ac:dyDescent="0.25">
      <c r="A67" s="27">
        <v>430400</v>
      </c>
      <c r="B67" s="28" t="s">
        <v>94</v>
      </c>
      <c r="C67" s="29">
        <v>21545</v>
      </c>
      <c r="D67" s="6">
        <v>109133.38</v>
      </c>
      <c r="E67" s="6">
        <v>0</v>
      </c>
      <c r="F67" s="6">
        <v>0</v>
      </c>
    </row>
    <row r="68" spans="1:6" ht="15.75" x14ac:dyDescent="0.25">
      <c r="A68" s="27">
        <v>430600</v>
      </c>
      <c r="B68" s="28" t="s">
        <v>95</v>
      </c>
      <c r="C68" s="29">
        <v>5028</v>
      </c>
      <c r="D68" s="6">
        <v>5241</v>
      </c>
      <c r="E68" s="6">
        <v>0</v>
      </c>
      <c r="F68" s="6">
        <v>0</v>
      </c>
    </row>
    <row r="69" spans="1:6" ht="15.75" x14ac:dyDescent="0.25">
      <c r="A69" s="27"/>
      <c r="B69" s="28"/>
      <c r="C69" s="29"/>
      <c r="D69" s="6"/>
      <c r="E69" s="6"/>
      <c r="F69" s="6"/>
    </row>
    <row r="70" spans="1:6" ht="15.75" x14ac:dyDescent="0.25">
      <c r="A70" s="27">
        <v>430100</v>
      </c>
      <c r="B70" s="28" t="s">
        <v>92</v>
      </c>
      <c r="C70" s="29">
        <v>-14450</v>
      </c>
      <c r="D70" s="6">
        <v>0</v>
      </c>
      <c r="E70" s="6">
        <v>0</v>
      </c>
      <c r="F70" s="6">
        <v>0</v>
      </c>
    </row>
    <row r="71" spans="1:6" ht="15.75" x14ac:dyDescent="0.25">
      <c r="A71" s="27">
        <v>430900</v>
      </c>
      <c r="B71" s="28" t="s">
        <v>96</v>
      </c>
      <c r="C71" s="29">
        <v>13234</v>
      </c>
      <c r="D71" s="6">
        <v>26800.47</v>
      </c>
      <c r="E71" s="6">
        <v>3000</v>
      </c>
      <c r="F71" s="38">
        <v>10000</v>
      </c>
    </row>
    <row r="72" spans="1:6" ht="15.75" x14ac:dyDescent="0.25">
      <c r="A72" s="27">
        <v>430950</v>
      </c>
      <c r="B72" s="28" t="s">
        <v>97</v>
      </c>
      <c r="C72" s="29">
        <v>19022.78</v>
      </c>
      <c r="D72" s="6">
        <v>13405</v>
      </c>
      <c r="E72" s="6">
        <v>5000</v>
      </c>
      <c r="F72" s="38">
        <v>10000</v>
      </c>
    </row>
    <row r="73" spans="1:6" ht="15.75" x14ac:dyDescent="0.25">
      <c r="A73" s="27">
        <v>431000</v>
      </c>
      <c r="B73" s="28" t="s">
        <v>98</v>
      </c>
      <c r="C73" s="29">
        <v>23343</v>
      </c>
      <c r="D73" s="6">
        <v>13011</v>
      </c>
      <c r="E73" s="6">
        <v>10000</v>
      </c>
      <c r="F73" s="6">
        <v>10000</v>
      </c>
    </row>
    <row r="74" spans="1:6" ht="15.75" x14ac:dyDescent="0.25">
      <c r="A74" s="27">
        <v>431050</v>
      </c>
      <c r="B74" s="28" t="s">
        <v>99</v>
      </c>
      <c r="C74" s="29">
        <v>4100</v>
      </c>
      <c r="D74" s="6">
        <v>3495.65</v>
      </c>
      <c r="E74" s="6">
        <v>1500</v>
      </c>
      <c r="F74" s="38">
        <v>3000</v>
      </c>
    </row>
    <row r="75" spans="1:6" ht="15.75" x14ac:dyDescent="0.25">
      <c r="A75" s="27">
        <v>431100</v>
      </c>
      <c r="B75" s="28" t="s">
        <v>100</v>
      </c>
      <c r="C75" s="29">
        <v>4462.4799999999996</v>
      </c>
      <c r="D75" s="6">
        <v>5262.65</v>
      </c>
      <c r="E75" s="6">
        <v>4000</v>
      </c>
      <c r="F75" s="6">
        <v>4000</v>
      </c>
    </row>
    <row r="76" spans="1:6" ht="15.75" x14ac:dyDescent="0.25">
      <c r="A76" s="27">
        <v>431200</v>
      </c>
      <c r="B76" s="28" t="s">
        <v>101</v>
      </c>
      <c r="C76" s="29">
        <v>468.21</v>
      </c>
      <c r="D76" s="6">
        <v>413.18</v>
      </c>
      <c r="E76" s="6">
        <v>0</v>
      </c>
      <c r="F76" s="6">
        <v>0</v>
      </c>
    </row>
    <row r="77" spans="1:6" ht="15.75" x14ac:dyDescent="0.25">
      <c r="A77" s="27"/>
      <c r="B77" s="28"/>
      <c r="C77" s="29"/>
      <c r="D77" s="6"/>
      <c r="E77" s="6"/>
      <c r="F77" s="6"/>
    </row>
    <row r="78" spans="1:6" ht="15.75" x14ac:dyDescent="0.25">
      <c r="A78" s="27">
        <v>433100</v>
      </c>
      <c r="B78" s="28" t="s">
        <v>102</v>
      </c>
      <c r="C78" s="29">
        <v>465777.94</v>
      </c>
      <c r="D78" s="6">
        <v>485492.45</v>
      </c>
      <c r="E78" s="6">
        <v>572250</v>
      </c>
      <c r="F78" s="42">
        <v>500000</v>
      </c>
    </row>
    <row r="79" spans="1:6" ht="15.75" x14ac:dyDescent="0.25">
      <c r="A79" s="27">
        <v>433200</v>
      </c>
      <c r="B79" s="28" t="s">
        <v>103</v>
      </c>
      <c r="C79" s="29">
        <v>6101.4</v>
      </c>
      <c r="D79" s="6">
        <v>5236.16</v>
      </c>
      <c r="E79" s="6">
        <v>4500</v>
      </c>
      <c r="F79" s="38">
        <v>5000</v>
      </c>
    </row>
    <row r="80" spans="1:6" ht="15.75" x14ac:dyDescent="0.25">
      <c r="A80" s="27">
        <v>433300</v>
      </c>
      <c r="B80" s="28" t="s">
        <v>104</v>
      </c>
      <c r="C80" s="29">
        <v>1470</v>
      </c>
      <c r="D80" s="6">
        <v>2595</v>
      </c>
      <c r="E80" s="6">
        <v>2000</v>
      </c>
      <c r="F80" s="6">
        <v>2000</v>
      </c>
    </row>
    <row r="81" spans="1:6" ht="15.75" x14ac:dyDescent="0.25">
      <c r="A81" s="27">
        <v>434000</v>
      </c>
      <c r="B81" s="28" t="s">
        <v>105</v>
      </c>
      <c r="C81" s="29">
        <v>148704</v>
      </c>
      <c r="D81" s="6">
        <v>163479</v>
      </c>
      <c r="E81" s="6">
        <v>150000</v>
      </c>
      <c r="F81" s="6">
        <v>150000</v>
      </c>
    </row>
    <row r="82" spans="1:6" ht="15.75" x14ac:dyDescent="0.25">
      <c r="A82" s="27">
        <v>434100</v>
      </c>
      <c r="B82" s="28" t="s">
        <v>106</v>
      </c>
      <c r="C82" s="29">
        <v>1006310.68</v>
      </c>
      <c r="D82" s="6">
        <v>1161622.72</v>
      </c>
      <c r="E82" s="6">
        <v>1354716</v>
      </c>
      <c r="F82" s="6">
        <v>1354717</v>
      </c>
    </row>
    <row r="83" spans="1:6" ht="15.75" x14ac:dyDescent="0.25">
      <c r="A83" s="27">
        <v>434200</v>
      </c>
      <c r="B83" s="28" t="s">
        <v>107</v>
      </c>
      <c r="C83" s="29">
        <v>3774</v>
      </c>
      <c r="D83" s="6">
        <v>4526</v>
      </c>
      <c r="E83" s="6">
        <v>3000</v>
      </c>
      <c r="F83" s="6">
        <v>3000</v>
      </c>
    </row>
    <row r="84" spans="1:6" ht="15.75" x14ac:dyDescent="0.25">
      <c r="A84" s="27"/>
      <c r="B84" s="28"/>
      <c r="C84" s="29"/>
      <c r="D84" s="6"/>
      <c r="E84" s="6"/>
      <c r="F84" s="6"/>
    </row>
    <row r="85" spans="1:6" ht="15.75" x14ac:dyDescent="0.25">
      <c r="A85" s="27">
        <v>435000</v>
      </c>
      <c r="B85" s="28" t="s">
        <v>108</v>
      </c>
      <c r="C85" s="29">
        <v>1829</v>
      </c>
      <c r="D85" s="6">
        <v>5682.09</v>
      </c>
      <c r="E85" s="6">
        <v>0</v>
      </c>
      <c r="F85" s="6">
        <v>0</v>
      </c>
    </row>
    <row r="86" spans="1:6" ht="15.75" x14ac:dyDescent="0.25">
      <c r="A86" s="27">
        <v>435200</v>
      </c>
      <c r="B86" s="28" t="s">
        <v>109</v>
      </c>
      <c r="C86" s="29">
        <v>56930.28</v>
      </c>
      <c r="D86" s="6">
        <v>80054.25</v>
      </c>
      <c r="E86" s="6">
        <v>0</v>
      </c>
      <c r="F86" s="6">
        <v>0</v>
      </c>
    </row>
    <row r="87" spans="1:6" ht="15.75" x14ac:dyDescent="0.25">
      <c r="A87" s="27">
        <v>435310</v>
      </c>
      <c r="B87" s="28" t="s">
        <v>287</v>
      </c>
      <c r="C87" s="29">
        <v>0</v>
      </c>
      <c r="D87" s="6">
        <v>14825.6</v>
      </c>
      <c r="E87" s="6">
        <v>34500</v>
      </c>
      <c r="F87" s="6">
        <v>34500</v>
      </c>
    </row>
    <row r="88" spans="1:6" ht="15.75" x14ac:dyDescent="0.25">
      <c r="A88" s="27">
        <v>435400</v>
      </c>
      <c r="B88" s="28" t="s">
        <v>110</v>
      </c>
      <c r="C88" s="29">
        <v>76087</v>
      </c>
      <c r="D88" s="6">
        <v>76087</v>
      </c>
      <c r="E88" s="6">
        <v>76087</v>
      </c>
      <c r="F88" s="6">
        <v>76087</v>
      </c>
    </row>
    <row r="89" spans="1:6" ht="15.75" x14ac:dyDescent="0.25">
      <c r="A89" s="27">
        <v>435425</v>
      </c>
      <c r="B89" s="28" t="s">
        <v>111</v>
      </c>
      <c r="C89" s="29">
        <v>11651.84</v>
      </c>
      <c r="D89" s="6">
        <v>11893.59</v>
      </c>
      <c r="E89" s="6">
        <v>19000</v>
      </c>
      <c r="F89" s="6">
        <v>19000</v>
      </c>
    </row>
    <row r="90" spans="1:6" ht="15.75" x14ac:dyDescent="0.25">
      <c r="A90" s="27">
        <v>435450</v>
      </c>
      <c r="B90" s="28" t="s">
        <v>112</v>
      </c>
      <c r="C90" s="29">
        <v>25657.37</v>
      </c>
      <c r="D90" s="6">
        <v>19222.919999999998</v>
      </c>
      <c r="E90" s="6">
        <v>0</v>
      </c>
      <c r="F90" s="6">
        <v>0</v>
      </c>
    </row>
    <row r="91" spans="1:6" ht="15.75" x14ac:dyDescent="0.25">
      <c r="A91" s="27">
        <v>435500</v>
      </c>
      <c r="B91" s="28" t="s">
        <v>113</v>
      </c>
      <c r="C91" s="29">
        <v>130373.28</v>
      </c>
      <c r="D91" s="6">
        <v>80025.34</v>
      </c>
      <c r="E91" s="6">
        <v>0</v>
      </c>
      <c r="F91" s="6">
        <v>0</v>
      </c>
    </row>
    <row r="92" spans="1:6" ht="15.75" x14ac:dyDescent="0.25">
      <c r="A92" s="27">
        <v>435550</v>
      </c>
      <c r="B92" s="28" t="s">
        <v>114</v>
      </c>
      <c r="C92" s="29">
        <v>23569</v>
      </c>
      <c r="D92" s="6">
        <v>30594.38</v>
      </c>
      <c r="E92" s="6">
        <v>22500</v>
      </c>
      <c r="F92" s="6">
        <v>25000</v>
      </c>
    </row>
    <row r="93" spans="1:6" ht="15.75" x14ac:dyDescent="0.25">
      <c r="A93" s="27">
        <v>460000</v>
      </c>
      <c r="B93" s="28" t="s">
        <v>115</v>
      </c>
      <c r="C93" s="29">
        <v>14368.02</v>
      </c>
      <c r="D93" s="6">
        <v>2729143.41</v>
      </c>
      <c r="E93" s="6">
        <v>14500</v>
      </c>
      <c r="F93" s="6">
        <v>14500</v>
      </c>
    </row>
    <row r="94" spans="1:6" ht="15.75" x14ac:dyDescent="0.25">
      <c r="A94" s="27">
        <v>460600</v>
      </c>
      <c r="B94" s="28" t="s">
        <v>116</v>
      </c>
      <c r="C94" s="29">
        <v>104013.69</v>
      </c>
      <c r="D94" s="6">
        <v>0</v>
      </c>
      <c r="E94" s="6">
        <v>0</v>
      </c>
      <c r="F94" s="6">
        <v>0</v>
      </c>
    </row>
    <row r="95" spans="1:6" ht="15.75" x14ac:dyDescent="0.25">
      <c r="A95" s="27"/>
      <c r="B95" s="28"/>
      <c r="C95" s="29"/>
      <c r="D95" s="6"/>
      <c r="E95" s="6"/>
      <c r="F95" s="6"/>
    </row>
    <row r="96" spans="1:6" ht="15.75" x14ac:dyDescent="0.25">
      <c r="A96" s="27">
        <v>470000</v>
      </c>
      <c r="B96" s="28" t="s">
        <v>117</v>
      </c>
      <c r="C96" s="29">
        <v>438206</v>
      </c>
      <c r="D96" s="6">
        <v>428712</v>
      </c>
      <c r="E96" s="6">
        <v>530500</v>
      </c>
      <c r="F96" s="6">
        <v>725000</v>
      </c>
    </row>
    <row r="97" spans="1:6" ht="15.75" x14ac:dyDescent="0.25">
      <c r="A97" s="27">
        <v>471000</v>
      </c>
      <c r="B97" s="28" t="s">
        <v>118</v>
      </c>
      <c r="C97" s="29">
        <v>36707.699999999997</v>
      </c>
      <c r="D97" s="6">
        <v>47181.11</v>
      </c>
      <c r="E97" s="6">
        <v>15000</v>
      </c>
      <c r="F97" s="6">
        <f>'WA TR PL'!F52+'WW TR PL'!F56+'Electric Dep'!F62</f>
        <v>69200</v>
      </c>
    </row>
    <row r="98" spans="1:6" ht="16.5" thickBot="1" x14ac:dyDescent="0.3">
      <c r="A98" s="27"/>
      <c r="B98" s="28" t="s">
        <v>293</v>
      </c>
      <c r="C98" s="29"/>
      <c r="D98" s="29"/>
      <c r="E98" s="29">
        <v>1160000</v>
      </c>
      <c r="F98" s="6">
        <v>0</v>
      </c>
    </row>
    <row r="99" spans="1:6" ht="16.5" thickBot="1" x14ac:dyDescent="0.3">
      <c r="A99" s="7" t="s">
        <v>294</v>
      </c>
      <c r="B99" s="8"/>
      <c r="C99" s="30">
        <f>SUM(C6:C97)</f>
        <v>9823848.8999999966</v>
      </c>
      <c r="D99" s="30">
        <v>10268393.759999998</v>
      </c>
      <c r="E99" s="30">
        <f>SUM(E6:E98)</f>
        <v>11163003</v>
      </c>
      <c r="F99" s="30">
        <f>SUM(F6:F98)</f>
        <v>10613504</v>
      </c>
    </row>
    <row r="104" spans="1:6" ht="15.75" x14ac:dyDescent="0.25">
      <c r="F104"/>
    </row>
    <row r="105" spans="1:6" ht="15.75" x14ac:dyDescent="0.25">
      <c r="F105"/>
    </row>
    <row r="106" spans="1:6" ht="15.75" x14ac:dyDescent="0.25">
      <c r="F106"/>
    </row>
    <row r="107" spans="1:6" ht="15.75" x14ac:dyDescent="0.25">
      <c r="F107"/>
    </row>
  </sheetData>
  <mergeCells count="5">
    <mergeCell ref="A1:F1"/>
    <mergeCell ref="A2:F2"/>
    <mergeCell ref="A14:B14"/>
    <mergeCell ref="A27:B27"/>
    <mergeCell ref="A30:B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777A-8D70-462C-BE08-A96A6DECD399}">
  <sheetPr>
    <pageSetUpPr fitToPage="1"/>
  </sheetPr>
  <dimension ref="A1:G26"/>
  <sheetViews>
    <sheetView showGridLines="0" workbookViewId="0">
      <selection sqref="A1:G1"/>
    </sheetView>
  </sheetViews>
  <sheetFormatPr defaultColWidth="9.140625" defaultRowHeight="15" x14ac:dyDescent="0.2"/>
  <cols>
    <col min="1" max="1" width="15.28515625" style="2" customWidth="1"/>
    <col min="2" max="2" width="38.140625" style="2" bestFit="1" customWidth="1"/>
    <col min="3" max="7" width="16.42578125" style="2" customWidth="1"/>
    <col min="8" max="16384" width="9.140625" style="2"/>
  </cols>
  <sheetData>
    <row r="1" spans="1:7" ht="34.5" customHeight="1" x14ac:dyDescent="0.45">
      <c r="A1" s="144" t="s">
        <v>297</v>
      </c>
      <c r="B1" s="144"/>
      <c r="C1" s="144"/>
      <c r="D1" s="144"/>
      <c r="E1" s="144"/>
      <c r="F1" s="144"/>
      <c r="G1" s="144"/>
    </row>
    <row r="2" spans="1:7" ht="15.75" customHeight="1" x14ac:dyDescent="0.2">
      <c r="A2" s="87"/>
      <c r="B2" s="87"/>
      <c r="C2" s="87"/>
      <c r="D2" s="87"/>
      <c r="E2" s="87"/>
      <c r="F2" s="87"/>
    </row>
    <row r="3" spans="1:7" ht="16.5" customHeight="1" thickBot="1" x14ac:dyDescent="0.25">
      <c r="A3" s="156" t="s">
        <v>9</v>
      </c>
      <c r="B3" s="157"/>
      <c r="C3" s="157"/>
      <c r="D3" s="157"/>
      <c r="E3" s="157"/>
      <c r="F3" s="157"/>
      <c r="G3" s="157"/>
    </row>
    <row r="4" spans="1:7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7" ht="15.75" x14ac:dyDescent="0.25">
      <c r="A5" s="3">
        <v>500000</v>
      </c>
      <c r="B5" s="26" t="s">
        <v>119</v>
      </c>
      <c r="C5" s="36">
        <v>10515.13</v>
      </c>
      <c r="D5" s="36">
        <v>9750</v>
      </c>
      <c r="E5" s="36">
        <v>10657</v>
      </c>
      <c r="F5" s="36">
        <v>10500</v>
      </c>
      <c r="G5" s="36">
        <v>10500</v>
      </c>
    </row>
    <row r="6" spans="1:7" ht="15.75" x14ac:dyDescent="0.25">
      <c r="A6" s="3">
        <v>500100</v>
      </c>
      <c r="B6" s="26" t="s">
        <v>120</v>
      </c>
      <c r="C6" s="6">
        <v>76807.77</v>
      </c>
      <c r="D6" s="6">
        <v>53148.62</v>
      </c>
      <c r="E6" s="6">
        <v>47499</v>
      </c>
      <c r="F6" s="6">
        <v>0</v>
      </c>
      <c r="G6" s="6">
        <v>0</v>
      </c>
    </row>
    <row r="7" spans="1:7" ht="15.75" x14ac:dyDescent="0.25">
      <c r="A7" s="3">
        <v>500150</v>
      </c>
      <c r="B7" s="26" t="s">
        <v>121</v>
      </c>
      <c r="C7" s="6">
        <v>11500</v>
      </c>
      <c r="D7" s="6">
        <v>10250</v>
      </c>
      <c r="E7" s="6">
        <v>11940</v>
      </c>
      <c r="F7" s="6">
        <v>9000</v>
      </c>
      <c r="G7" s="6">
        <v>12000</v>
      </c>
    </row>
    <row r="8" spans="1:7" ht="15.75" x14ac:dyDescent="0.25">
      <c r="A8" s="3">
        <v>501000</v>
      </c>
      <c r="B8" s="26" t="s">
        <v>122</v>
      </c>
      <c r="C8" s="6">
        <v>1604.31</v>
      </c>
      <c r="D8" s="6">
        <v>1529.9</v>
      </c>
      <c r="E8" s="6">
        <v>1733</v>
      </c>
      <c r="F8" s="6">
        <v>1720</v>
      </c>
      <c r="G8" s="6">
        <v>1720</v>
      </c>
    </row>
    <row r="9" spans="1:7" ht="15.75" x14ac:dyDescent="0.25">
      <c r="A9" s="3">
        <v>501100</v>
      </c>
      <c r="B9" s="26" t="s">
        <v>123</v>
      </c>
      <c r="C9" s="6">
        <v>6625</v>
      </c>
      <c r="D9" s="6">
        <v>-1288</v>
      </c>
      <c r="E9" s="6">
        <v>0</v>
      </c>
      <c r="F9" s="6">
        <v>0</v>
      </c>
      <c r="G9" s="6">
        <v>0</v>
      </c>
    </row>
    <row r="10" spans="1:7" ht="16.5" thickBot="1" x14ac:dyDescent="0.3">
      <c r="A10" s="3">
        <v>501250</v>
      </c>
      <c r="B10" s="26" t="s">
        <v>124</v>
      </c>
      <c r="C10" s="6">
        <v>16.93</v>
      </c>
      <c r="D10" s="6">
        <v>15.06</v>
      </c>
      <c r="E10" s="6">
        <v>13</v>
      </c>
      <c r="F10" s="6">
        <v>25</v>
      </c>
      <c r="G10" s="6">
        <v>25</v>
      </c>
    </row>
    <row r="11" spans="1:7" ht="16.5" thickBot="1" x14ac:dyDescent="0.3">
      <c r="A11" s="160" t="s">
        <v>10</v>
      </c>
      <c r="B11" s="161"/>
      <c r="C11" s="30">
        <f>SUM(C5:C10)</f>
        <v>107069.14</v>
      </c>
      <c r="D11" s="30">
        <f>SUM(D5:D10)</f>
        <v>73405.579999999987</v>
      </c>
      <c r="E11" s="30">
        <f>SUM(E5:E10)</f>
        <v>71842</v>
      </c>
      <c r="F11" s="30">
        <f>SUM(F5:F10)</f>
        <v>21245</v>
      </c>
      <c r="G11" s="30">
        <f>SUM(G5:G10)</f>
        <v>24245</v>
      </c>
    </row>
    <row r="13" spans="1:7" ht="16.5" customHeight="1" thickBot="1" x14ac:dyDescent="0.25">
      <c r="A13" s="156" t="s">
        <v>8</v>
      </c>
      <c r="B13" s="157"/>
      <c r="C13" s="157"/>
      <c r="D13" s="157"/>
      <c r="E13" s="157"/>
      <c r="F13" s="157"/>
      <c r="G13" s="157"/>
    </row>
    <row r="14" spans="1:7" ht="56.25" x14ac:dyDescent="0.2">
      <c r="A14" s="5" t="s">
        <v>1</v>
      </c>
      <c r="B14" s="5" t="s">
        <v>2</v>
      </c>
      <c r="C14" s="77" t="s">
        <v>6</v>
      </c>
      <c r="D14" s="77" t="s">
        <v>5</v>
      </c>
      <c r="E14" s="77" t="s">
        <v>350</v>
      </c>
      <c r="F14" s="77" t="s">
        <v>349</v>
      </c>
      <c r="G14" s="77" t="s">
        <v>348</v>
      </c>
    </row>
    <row r="15" spans="1:7" ht="15.75" x14ac:dyDescent="0.25">
      <c r="A15" s="3">
        <v>519000</v>
      </c>
      <c r="B15" s="40" t="s">
        <v>125</v>
      </c>
      <c r="C15" s="41">
        <v>3270.15</v>
      </c>
      <c r="D15" s="41">
        <v>8958.4500000000007</v>
      </c>
      <c r="E15" s="41">
        <v>5082</v>
      </c>
      <c r="F15" s="41">
        <v>2000</v>
      </c>
      <c r="G15" s="41">
        <v>2000</v>
      </c>
    </row>
    <row r="16" spans="1:7" ht="15.75" x14ac:dyDescent="0.25">
      <c r="A16" s="3">
        <v>525000</v>
      </c>
      <c r="B16" s="4" t="s">
        <v>126</v>
      </c>
      <c r="C16" s="6">
        <v>7000</v>
      </c>
      <c r="D16" s="6">
        <v>0</v>
      </c>
      <c r="E16" s="6">
        <v>122331</v>
      </c>
      <c r="F16" s="41">
        <v>0</v>
      </c>
      <c r="G16" s="41">
        <v>0</v>
      </c>
    </row>
    <row r="17" spans="1:7" ht="16.5" thickBot="1" x14ac:dyDescent="0.3">
      <c r="A17" s="3">
        <v>525150</v>
      </c>
      <c r="B17" s="4" t="s">
        <v>127</v>
      </c>
      <c r="C17" s="6">
        <v>2256.38</v>
      </c>
      <c r="D17" s="6">
        <v>1311.54</v>
      </c>
      <c r="E17" s="6">
        <v>35851</v>
      </c>
      <c r="F17" s="6">
        <v>5000</v>
      </c>
      <c r="G17" s="6">
        <v>5000</v>
      </c>
    </row>
    <row r="18" spans="1:7" ht="16.5" thickBot="1" x14ac:dyDescent="0.3">
      <c r="A18" s="160" t="s">
        <v>11</v>
      </c>
      <c r="B18" s="161"/>
      <c r="C18" s="30">
        <f>SUM(C15:C17)</f>
        <v>12526.529999999999</v>
      </c>
      <c r="D18" s="30">
        <f>SUM(D15:D17)</f>
        <v>10269.990000000002</v>
      </c>
      <c r="E18" s="30">
        <f>SUM(E15:E17)</f>
        <v>163264</v>
      </c>
      <c r="F18" s="30">
        <f>SUM(F15:F17)</f>
        <v>7000</v>
      </c>
      <c r="G18" s="30">
        <f>SUM(G15:G17)</f>
        <v>7000</v>
      </c>
    </row>
    <row r="19" spans="1:7" ht="15.75" thickBot="1" x14ac:dyDescent="0.25"/>
    <row r="20" spans="1:7" ht="16.5" thickBot="1" x14ac:dyDescent="0.3">
      <c r="A20" s="158" t="s">
        <v>48</v>
      </c>
      <c r="B20" s="159"/>
      <c r="C20" s="159"/>
      <c r="D20" s="159"/>
      <c r="E20" s="159"/>
      <c r="F20" s="159"/>
      <c r="G20" s="159"/>
    </row>
    <row r="21" spans="1:7" ht="15" customHeight="1" x14ac:dyDescent="0.2">
      <c r="A21" s="150"/>
      <c r="B21" s="152" t="s">
        <v>12</v>
      </c>
      <c r="C21" s="154" t="s">
        <v>6</v>
      </c>
      <c r="D21" s="154" t="s">
        <v>5</v>
      </c>
      <c r="E21" s="154" t="s">
        <v>350</v>
      </c>
      <c r="F21" s="154" t="s">
        <v>349</v>
      </c>
      <c r="G21" s="154" t="s">
        <v>348</v>
      </c>
    </row>
    <row r="22" spans="1:7" ht="39" customHeight="1" thickBot="1" x14ac:dyDescent="0.25">
      <c r="A22" s="151"/>
      <c r="B22" s="153"/>
      <c r="C22" s="155"/>
      <c r="D22" s="155"/>
      <c r="E22" s="155"/>
      <c r="F22" s="155"/>
      <c r="G22" s="155"/>
    </row>
    <row r="23" spans="1:7" ht="15.75" x14ac:dyDescent="0.25">
      <c r="A23" s="3"/>
      <c r="B23" s="4" t="s">
        <v>13</v>
      </c>
      <c r="C23" s="41">
        <f>C11</f>
        <v>107069.14</v>
      </c>
      <c r="D23" s="41">
        <f>D11</f>
        <v>73405.579999999987</v>
      </c>
      <c r="E23" s="41">
        <f>E11</f>
        <v>71842</v>
      </c>
      <c r="F23" s="41">
        <f>F11</f>
        <v>21245</v>
      </c>
      <c r="G23" s="41">
        <f>G11</f>
        <v>24245</v>
      </c>
    </row>
    <row r="24" spans="1:7" ht="15.75" x14ac:dyDescent="0.25">
      <c r="A24" s="3"/>
      <c r="B24" s="4" t="s">
        <v>14</v>
      </c>
      <c r="C24" s="6">
        <f>C18</f>
        <v>12526.529999999999</v>
      </c>
      <c r="D24" s="6">
        <f>D18</f>
        <v>10269.990000000002</v>
      </c>
      <c r="E24" s="6">
        <f>E18</f>
        <v>163264</v>
      </c>
      <c r="F24" s="6">
        <f>F18</f>
        <v>7000</v>
      </c>
      <c r="G24" s="6">
        <f>G18</f>
        <v>7000</v>
      </c>
    </row>
    <row r="25" spans="1:7" ht="16.5" thickBot="1" x14ac:dyDescent="0.3">
      <c r="A25" s="3"/>
      <c r="B25" s="4" t="s">
        <v>49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ht="15.75" x14ac:dyDescent="0.25">
      <c r="A26" s="148" t="s">
        <v>16</v>
      </c>
      <c r="B26" s="149"/>
      <c r="C26" s="31">
        <f>SUM(C23:C25)</f>
        <v>119595.67</v>
      </c>
      <c r="D26" s="31">
        <f>SUM(D23:D25)</f>
        <v>83675.569999999992</v>
      </c>
      <c r="E26" s="31">
        <f>SUM(E23:E25)</f>
        <v>235106</v>
      </c>
      <c r="F26" s="31">
        <f>SUM(F23:F25)</f>
        <v>28245</v>
      </c>
      <c r="G26" s="31">
        <f>SUM(G23:G25)</f>
        <v>31245</v>
      </c>
    </row>
  </sheetData>
  <mergeCells count="14">
    <mergeCell ref="G21:G22"/>
    <mergeCell ref="A3:G3"/>
    <mergeCell ref="A1:G1"/>
    <mergeCell ref="A13:G13"/>
    <mergeCell ref="A20:G20"/>
    <mergeCell ref="E21:E22"/>
    <mergeCell ref="F21:F22"/>
    <mergeCell ref="A11:B11"/>
    <mergeCell ref="A18:B18"/>
    <mergeCell ref="A26:B26"/>
    <mergeCell ref="A21:A22"/>
    <mergeCell ref="B21:B22"/>
    <mergeCell ref="C21:C22"/>
    <mergeCell ref="D21:D22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F54D-71D1-4057-9405-817A463D94AE}">
  <sheetPr>
    <pageSetUpPr fitToPage="1"/>
  </sheetPr>
  <dimension ref="A1:J31"/>
  <sheetViews>
    <sheetView showGridLines="0" workbookViewId="0">
      <selection sqref="A1:G1"/>
    </sheetView>
  </sheetViews>
  <sheetFormatPr defaultColWidth="9.140625" defaultRowHeight="15" x14ac:dyDescent="0.2"/>
  <cols>
    <col min="1" max="1" width="21" style="2" customWidth="1"/>
    <col min="2" max="2" width="38.5703125" style="2" customWidth="1"/>
    <col min="3" max="5" width="17" style="2" customWidth="1"/>
    <col min="6" max="7" width="21" style="2" customWidth="1"/>
    <col min="8" max="8" width="9.85546875" style="2" bestFit="1" customWidth="1"/>
    <col min="9" max="16384" width="9.140625" style="2"/>
  </cols>
  <sheetData>
    <row r="1" spans="1:8" ht="34.5" x14ac:dyDescent="0.45">
      <c r="A1" s="144" t="s">
        <v>0</v>
      </c>
      <c r="B1" s="144"/>
      <c r="C1" s="144"/>
      <c r="D1" s="144"/>
      <c r="E1" s="144"/>
      <c r="F1" s="144"/>
      <c r="G1" s="144"/>
    </row>
    <row r="2" spans="1:8" x14ac:dyDescent="0.2">
      <c r="A2" s="145"/>
      <c r="B2" s="145"/>
      <c r="C2" s="145"/>
      <c r="D2" s="145"/>
      <c r="E2" s="145"/>
      <c r="F2" s="145"/>
    </row>
    <row r="3" spans="1:8" ht="15.75" thickBot="1" x14ac:dyDescent="0.25">
      <c r="A3" s="1" t="s">
        <v>9</v>
      </c>
      <c r="B3" s="1"/>
      <c r="C3" s="1"/>
      <c r="D3" s="1"/>
      <c r="E3" s="1"/>
      <c r="F3" s="1"/>
      <c r="G3" s="1"/>
    </row>
    <row r="4" spans="1:8" ht="56.25" x14ac:dyDescent="0.2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8" ht="15.75" x14ac:dyDescent="0.25">
      <c r="A5" s="3">
        <v>500000</v>
      </c>
      <c r="B5" s="4" t="s">
        <v>119</v>
      </c>
      <c r="C5" s="36">
        <v>0</v>
      </c>
      <c r="D5" s="36">
        <v>0</v>
      </c>
      <c r="E5" s="36">
        <v>0</v>
      </c>
      <c r="F5" s="36">
        <v>150000</v>
      </c>
      <c r="G5" s="36">
        <v>125000</v>
      </c>
    </row>
    <row r="6" spans="1:8" ht="15.75" x14ac:dyDescent="0.25">
      <c r="A6" s="3">
        <v>501000</v>
      </c>
      <c r="B6" s="4" t="s">
        <v>122</v>
      </c>
      <c r="C6" s="6">
        <v>0</v>
      </c>
      <c r="D6" s="6">
        <v>0</v>
      </c>
      <c r="E6" s="6">
        <v>0</v>
      </c>
      <c r="F6" s="6">
        <v>12750</v>
      </c>
      <c r="G6" s="6">
        <f>12750*0.83</f>
        <v>10582.5</v>
      </c>
    </row>
    <row r="7" spans="1:8" ht="15.75" x14ac:dyDescent="0.25">
      <c r="A7" s="3">
        <v>501100</v>
      </c>
      <c r="B7" s="4" t="s">
        <v>123</v>
      </c>
      <c r="C7" s="6">
        <v>0</v>
      </c>
      <c r="D7" s="6">
        <v>0</v>
      </c>
      <c r="E7" s="6">
        <v>0</v>
      </c>
      <c r="F7" s="6">
        <v>20400</v>
      </c>
      <c r="G7" s="6">
        <f>20700*1.103</f>
        <v>22832.1</v>
      </c>
      <c r="H7" s="2" t="s">
        <v>381</v>
      </c>
    </row>
    <row r="8" spans="1:8" ht="15.75" x14ac:dyDescent="0.25">
      <c r="A8" s="3">
        <v>501150</v>
      </c>
      <c r="B8" s="4" t="s">
        <v>168</v>
      </c>
      <c r="C8" s="6">
        <v>0</v>
      </c>
      <c r="D8" s="6">
        <v>0</v>
      </c>
      <c r="E8" s="6">
        <v>0</v>
      </c>
      <c r="F8" s="6">
        <v>288</v>
      </c>
      <c r="G8" s="6">
        <f>300*1.103</f>
        <v>330.9</v>
      </c>
      <c r="H8" s="2" t="s">
        <v>381</v>
      </c>
    </row>
    <row r="9" spans="1:8" ht="15.75" x14ac:dyDescent="0.25">
      <c r="A9" s="3">
        <v>501200</v>
      </c>
      <c r="B9" s="4" t="s">
        <v>130</v>
      </c>
      <c r="C9" s="6">
        <v>0</v>
      </c>
      <c r="D9" s="6">
        <v>0</v>
      </c>
      <c r="E9" s="6">
        <v>0</v>
      </c>
      <c r="F9" s="6">
        <v>4000</v>
      </c>
      <c r="G9" s="6">
        <v>58000</v>
      </c>
      <c r="H9" s="2" t="s">
        <v>382</v>
      </c>
    </row>
    <row r="10" spans="1:8" ht="15.75" x14ac:dyDescent="0.25">
      <c r="A10" s="3">
        <v>501225</v>
      </c>
      <c r="B10" s="4" t="s">
        <v>131</v>
      </c>
      <c r="C10" s="6">
        <v>0</v>
      </c>
      <c r="D10" s="6">
        <v>0</v>
      </c>
      <c r="E10" s="6">
        <v>0</v>
      </c>
      <c r="F10" s="6">
        <v>500</v>
      </c>
      <c r="G10" s="6">
        <v>1300</v>
      </c>
    </row>
    <row r="11" spans="1:8" ht="16.5" thickBot="1" x14ac:dyDescent="0.3">
      <c r="A11" s="3">
        <v>501250</v>
      </c>
      <c r="B11" s="4" t="s">
        <v>124</v>
      </c>
      <c r="C11" s="6">
        <v>0</v>
      </c>
      <c r="D11" s="6">
        <v>0</v>
      </c>
      <c r="E11" s="6">
        <v>0</v>
      </c>
      <c r="F11" s="6">
        <v>150</v>
      </c>
      <c r="G11" s="6">
        <v>100</v>
      </c>
    </row>
    <row r="12" spans="1:8" ht="16.5" thickBot="1" x14ac:dyDescent="0.3">
      <c r="A12" s="7" t="s">
        <v>10</v>
      </c>
      <c r="B12" s="8"/>
      <c r="C12" s="30">
        <f>SUM(C5:C11)</f>
        <v>0</v>
      </c>
      <c r="D12" s="30">
        <f>SUM(D5:D11)</f>
        <v>0</v>
      </c>
      <c r="E12" s="30">
        <f>SUM(E5:E11)</f>
        <v>0</v>
      </c>
      <c r="F12" s="30">
        <f>SUM(F5:F11)</f>
        <v>188088</v>
      </c>
      <c r="G12" s="30">
        <f>SUM(G5:G11)</f>
        <v>218145.5</v>
      </c>
    </row>
    <row r="14" spans="1:8" ht="15.75" thickBot="1" x14ac:dyDescent="0.25">
      <c r="A14" s="1" t="s">
        <v>8</v>
      </c>
      <c r="B14" s="1"/>
      <c r="C14" s="1"/>
      <c r="D14" s="1"/>
      <c r="E14" s="1"/>
      <c r="F14" s="1"/>
      <c r="G14" s="1"/>
    </row>
    <row r="15" spans="1:8" ht="56.25" x14ac:dyDescent="0.2">
      <c r="A15" s="5" t="s">
        <v>1</v>
      </c>
      <c r="B15" s="5" t="s">
        <v>2</v>
      </c>
      <c r="C15" s="77" t="s">
        <v>6</v>
      </c>
      <c r="D15" s="77" t="s">
        <v>5</v>
      </c>
      <c r="E15" s="77" t="s">
        <v>350</v>
      </c>
      <c r="F15" s="77" t="s">
        <v>349</v>
      </c>
      <c r="G15" s="77" t="s">
        <v>348</v>
      </c>
    </row>
    <row r="16" spans="1:8" ht="15.75" x14ac:dyDescent="0.25">
      <c r="A16" s="3">
        <v>510250</v>
      </c>
      <c r="B16" s="4" t="s">
        <v>140</v>
      </c>
      <c r="C16" s="6">
        <v>0</v>
      </c>
      <c r="D16" s="6">
        <v>0</v>
      </c>
      <c r="E16" s="6">
        <v>0</v>
      </c>
      <c r="F16" s="6">
        <v>2000</v>
      </c>
      <c r="G16" s="6">
        <v>1500</v>
      </c>
    </row>
    <row r="17" spans="1:10" ht="15.75" x14ac:dyDescent="0.25">
      <c r="A17" s="3">
        <v>510350</v>
      </c>
      <c r="B17" s="4" t="s">
        <v>142</v>
      </c>
      <c r="C17" s="6">
        <v>0</v>
      </c>
      <c r="D17" s="6">
        <v>0</v>
      </c>
      <c r="E17" s="6">
        <v>0</v>
      </c>
      <c r="F17" s="6">
        <v>1500</v>
      </c>
      <c r="G17" s="6">
        <v>3000</v>
      </c>
    </row>
    <row r="18" spans="1:10" ht="15.75" x14ac:dyDescent="0.25">
      <c r="A18" s="3">
        <v>510450</v>
      </c>
      <c r="B18" s="4" t="s">
        <v>145</v>
      </c>
      <c r="C18" s="6"/>
      <c r="D18" s="6"/>
      <c r="E18" s="6">
        <v>160</v>
      </c>
      <c r="F18" s="6"/>
      <c r="G18" s="6"/>
    </row>
    <row r="19" spans="1:10" ht="15.75" x14ac:dyDescent="0.25">
      <c r="A19" s="3">
        <v>510550</v>
      </c>
      <c r="B19" s="4" t="s">
        <v>146</v>
      </c>
      <c r="C19" s="6">
        <v>0</v>
      </c>
      <c r="D19" s="6">
        <v>0</v>
      </c>
      <c r="E19" s="6">
        <v>0</v>
      </c>
      <c r="F19" s="6">
        <v>7000</v>
      </c>
      <c r="G19" s="6">
        <v>2000</v>
      </c>
    </row>
    <row r="20" spans="1:10" ht="15.75" x14ac:dyDescent="0.25">
      <c r="A20" s="3">
        <v>510625</v>
      </c>
      <c r="B20" s="4" t="s">
        <v>371</v>
      </c>
      <c r="C20" s="6"/>
      <c r="D20" s="6"/>
      <c r="E20" s="6">
        <v>4500</v>
      </c>
      <c r="F20" s="6"/>
      <c r="G20" s="6"/>
    </row>
    <row r="21" spans="1:10" ht="15.75" x14ac:dyDescent="0.25">
      <c r="A21" s="3">
        <v>511100</v>
      </c>
      <c r="B21" s="4" t="s">
        <v>155</v>
      </c>
      <c r="C21" s="6">
        <v>0</v>
      </c>
      <c r="D21" s="6">
        <v>0</v>
      </c>
      <c r="E21" s="6">
        <v>0</v>
      </c>
      <c r="F21" s="6">
        <v>1000</v>
      </c>
      <c r="G21" s="6">
        <v>750</v>
      </c>
    </row>
    <row r="22" spans="1:10" ht="16.5" thickBot="1" x14ac:dyDescent="0.3">
      <c r="A22" s="3">
        <v>519000</v>
      </c>
      <c r="B22" s="4" t="s">
        <v>125</v>
      </c>
      <c r="C22" s="6">
        <v>0</v>
      </c>
      <c r="D22" s="6">
        <v>0</v>
      </c>
      <c r="E22" s="6">
        <v>0</v>
      </c>
      <c r="F22" s="6">
        <v>1000</v>
      </c>
      <c r="G22" s="6">
        <f>1000+96000</f>
        <v>97000</v>
      </c>
      <c r="H22" s="2" t="s">
        <v>412</v>
      </c>
    </row>
    <row r="23" spans="1:10" ht="16.5" thickBot="1" x14ac:dyDescent="0.3">
      <c r="A23" s="7" t="s">
        <v>11</v>
      </c>
      <c r="B23" s="8"/>
      <c r="C23" s="30">
        <f>SUM(C16:C22)</f>
        <v>0</v>
      </c>
      <c r="D23" s="30">
        <f>SUM(D16:D22)</f>
        <v>0</v>
      </c>
      <c r="E23" s="30">
        <f>SUM(E16:E22)</f>
        <v>4660</v>
      </c>
      <c r="F23" s="30">
        <f>SUM(F16:F22)</f>
        <v>12500</v>
      </c>
      <c r="G23" s="30">
        <f>SUM(G16:G22)</f>
        <v>104250</v>
      </c>
    </row>
    <row r="24" spans="1:10" ht="15.75" thickBot="1" x14ac:dyDescent="0.25"/>
    <row r="25" spans="1:10" ht="16.5" thickBot="1" x14ac:dyDescent="0.3">
      <c r="A25" s="9" t="s">
        <v>48</v>
      </c>
      <c r="B25" s="10"/>
      <c r="C25" s="10"/>
      <c r="D25" s="10"/>
      <c r="E25" s="10"/>
      <c r="F25" s="10"/>
      <c r="G25" s="10"/>
    </row>
    <row r="26" spans="1:10" ht="15" customHeight="1" x14ac:dyDescent="0.2">
      <c r="A26" s="150"/>
      <c r="B26" s="152" t="s">
        <v>12</v>
      </c>
      <c r="C26" s="154" t="s">
        <v>6</v>
      </c>
      <c r="D26" s="154" t="s">
        <v>5</v>
      </c>
      <c r="E26" s="154" t="s">
        <v>350</v>
      </c>
      <c r="F26" s="154" t="s">
        <v>349</v>
      </c>
      <c r="G26" s="154" t="s">
        <v>348</v>
      </c>
    </row>
    <row r="27" spans="1:10" ht="45" customHeight="1" thickBot="1" x14ac:dyDescent="0.25">
      <c r="A27" s="151"/>
      <c r="B27" s="153"/>
      <c r="C27" s="162"/>
      <c r="D27" s="162"/>
      <c r="E27" s="162"/>
      <c r="F27" s="162"/>
      <c r="G27" s="162"/>
    </row>
    <row r="28" spans="1:10" ht="15.75" x14ac:dyDescent="0.25">
      <c r="A28" s="3"/>
      <c r="B28" s="4" t="s">
        <v>13</v>
      </c>
      <c r="C28" s="6">
        <f>C12</f>
        <v>0</v>
      </c>
      <c r="D28" s="6">
        <f>D12</f>
        <v>0</v>
      </c>
      <c r="E28" s="6">
        <f>E12</f>
        <v>0</v>
      </c>
      <c r="F28" s="6">
        <f>F12</f>
        <v>188088</v>
      </c>
      <c r="G28" s="6">
        <f>G12</f>
        <v>218145.5</v>
      </c>
    </row>
    <row r="29" spans="1:10" ht="15.75" x14ac:dyDescent="0.25">
      <c r="A29" s="3"/>
      <c r="B29" s="4" t="s">
        <v>14</v>
      </c>
      <c r="C29" s="6">
        <f>C23</f>
        <v>0</v>
      </c>
      <c r="D29" s="6">
        <f>D23</f>
        <v>0</v>
      </c>
      <c r="E29" s="6">
        <f>E23</f>
        <v>4660</v>
      </c>
      <c r="F29" s="6">
        <f>F23</f>
        <v>12500</v>
      </c>
      <c r="G29" s="6">
        <f>G23</f>
        <v>104250</v>
      </c>
    </row>
    <row r="30" spans="1:10" ht="16.5" thickBot="1" x14ac:dyDescent="0.3">
      <c r="A30" s="3"/>
      <c r="B30" s="4" t="s">
        <v>15</v>
      </c>
      <c r="C30" s="6">
        <v>0</v>
      </c>
      <c r="D30" s="6">
        <v>0</v>
      </c>
      <c r="E30" s="6">
        <v>0</v>
      </c>
      <c r="F30" s="6">
        <v>0</v>
      </c>
      <c r="G30" s="6">
        <v>24000</v>
      </c>
      <c r="H30" s="116" t="s">
        <v>420</v>
      </c>
      <c r="I30" s="116"/>
      <c r="J30" s="116"/>
    </row>
    <row r="31" spans="1:10" ht="15.75" x14ac:dyDescent="0.25">
      <c r="A31" s="11" t="s">
        <v>16</v>
      </c>
      <c r="B31" s="12"/>
      <c r="C31" s="31">
        <f>SUM(C28:C30)</f>
        <v>0</v>
      </c>
      <c r="D31" s="31">
        <f>SUM(D28:D30)</f>
        <v>0</v>
      </c>
      <c r="E31" s="31">
        <f>SUM(E28:E30)</f>
        <v>4660</v>
      </c>
      <c r="F31" s="31">
        <f>SUM(F28:F30)</f>
        <v>200588</v>
      </c>
      <c r="G31" s="31">
        <f>SUM(G28:G30)</f>
        <v>346395.5</v>
      </c>
    </row>
  </sheetData>
  <mergeCells count="9">
    <mergeCell ref="A1:G1"/>
    <mergeCell ref="G26:G27"/>
    <mergeCell ref="A2:F2"/>
    <mergeCell ref="A26:A27"/>
    <mergeCell ref="B26:B27"/>
    <mergeCell ref="C26:C27"/>
    <mergeCell ref="D26:D27"/>
    <mergeCell ref="E26:E27"/>
    <mergeCell ref="F26:F27"/>
  </mergeCells>
  <pageMargins left="0.7" right="0.7" top="0.75" bottom="0.75" header="0.3" footer="0.3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2148-5483-4708-AA38-CC70FF574370}">
  <sheetPr>
    <pageSetUpPr fitToPage="1"/>
  </sheetPr>
  <dimension ref="A1:K59"/>
  <sheetViews>
    <sheetView showGridLines="0" workbookViewId="0">
      <selection sqref="A1:G1"/>
    </sheetView>
  </sheetViews>
  <sheetFormatPr defaultColWidth="9.140625" defaultRowHeight="15.75" x14ac:dyDescent="0.25"/>
  <cols>
    <col min="1" max="1" width="21" style="2" customWidth="1"/>
    <col min="2" max="2" width="46.28515625" style="2" bestFit="1" customWidth="1"/>
    <col min="3" max="7" width="21" style="2" customWidth="1"/>
    <col min="8" max="8" width="30.28515625" customWidth="1"/>
    <col min="9" max="11" width="8.85546875" customWidth="1"/>
    <col min="12" max="16384" width="9.140625" style="2"/>
  </cols>
  <sheetData>
    <row r="1" spans="1:11" ht="34.5" x14ac:dyDescent="0.45">
      <c r="A1" s="144" t="s">
        <v>17</v>
      </c>
      <c r="B1" s="144"/>
      <c r="C1" s="144"/>
      <c r="D1" s="144"/>
      <c r="E1" s="144"/>
      <c r="F1" s="144"/>
      <c r="G1" s="144"/>
    </row>
    <row r="2" spans="1:11" x14ac:dyDescent="0.25">
      <c r="A2" s="145"/>
      <c r="B2" s="145"/>
      <c r="C2" s="145"/>
      <c r="D2" s="145"/>
      <c r="E2" s="145"/>
      <c r="F2" s="145"/>
    </row>
    <row r="3" spans="1:11" ht="16.5" thickBot="1" x14ac:dyDescent="0.3">
      <c r="A3" s="1" t="s">
        <v>9</v>
      </c>
      <c r="B3" s="1"/>
      <c r="C3" s="1"/>
      <c r="D3" s="1"/>
      <c r="E3" s="1"/>
      <c r="F3" s="1"/>
      <c r="G3" s="1"/>
    </row>
    <row r="4" spans="1:11" ht="56.25" x14ac:dyDescent="0.25">
      <c r="A4" s="5" t="s">
        <v>1</v>
      </c>
      <c r="B4" s="5" t="s">
        <v>2</v>
      </c>
      <c r="C4" s="77" t="s">
        <v>6</v>
      </c>
      <c r="D4" s="77" t="s">
        <v>5</v>
      </c>
      <c r="E4" s="77" t="s">
        <v>350</v>
      </c>
      <c r="F4" s="77" t="s">
        <v>349</v>
      </c>
      <c r="G4" s="77" t="s">
        <v>348</v>
      </c>
    </row>
    <row r="5" spans="1:11" x14ac:dyDescent="0.25">
      <c r="A5" s="45">
        <v>500000</v>
      </c>
      <c r="B5" s="46" t="s">
        <v>119</v>
      </c>
      <c r="C5" s="36">
        <v>291111.40000000002</v>
      </c>
      <c r="D5" s="36">
        <v>333168.36</v>
      </c>
      <c r="E5" s="36">
        <v>377847</v>
      </c>
      <c r="F5" s="36">
        <v>394150</v>
      </c>
      <c r="G5" s="36">
        <f>459505-38480+18564</f>
        <v>439589</v>
      </c>
      <c r="H5" s="29"/>
    </row>
    <row r="6" spans="1:11" x14ac:dyDescent="0.25">
      <c r="A6" s="3">
        <v>500050</v>
      </c>
      <c r="B6" s="4" t="s">
        <v>128</v>
      </c>
      <c r="C6" s="6">
        <v>113435.32</v>
      </c>
      <c r="D6" s="6">
        <v>100071.6</v>
      </c>
      <c r="E6" s="6">
        <v>98176</v>
      </c>
      <c r="F6" s="6">
        <v>0</v>
      </c>
      <c r="G6" s="36">
        <f t="shared" ref="G6" si="0">F6*1.02</f>
        <v>0</v>
      </c>
    </row>
    <row r="7" spans="1:11" x14ac:dyDescent="0.25">
      <c r="A7" s="3">
        <v>500150</v>
      </c>
      <c r="B7" s="4" t="s">
        <v>290</v>
      </c>
      <c r="C7" s="6">
        <v>0</v>
      </c>
      <c r="D7" s="6">
        <v>0</v>
      </c>
      <c r="E7" s="6">
        <v>0</v>
      </c>
      <c r="F7" s="6">
        <v>0</v>
      </c>
      <c r="G7" s="36">
        <v>0</v>
      </c>
      <c r="H7" s="2"/>
      <c r="I7" s="2"/>
      <c r="J7" s="2"/>
      <c r="K7" s="2"/>
    </row>
    <row r="8" spans="1:11" x14ac:dyDescent="0.25">
      <c r="A8" s="3">
        <v>501000</v>
      </c>
      <c r="B8" s="4" t="s">
        <v>122</v>
      </c>
      <c r="C8" s="6">
        <v>29456.92</v>
      </c>
      <c r="D8" s="6">
        <v>31453.85</v>
      </c>
      <c r="E8" s="6">
        <v>34835</v>
      </c>
      <c r="F8" s="6">
        <v>30155</v>
      </c>
      <c r="G8" s="36">
        <v>33700</v>
      </c>
    </row>
    <row r="9" spans="1:11" x14ac:dyDescent="0.25">
      <c r="A9" s="3">
        <v>501100</v>
      </c>
      <c r="B9" s="4" t="s">
        <v>123</v>
      </c>
      <c r="C9" s="6">
        <v>86085</v>
      </c>
      <c r="D9" s="6">
        <v>87515</v>
      </c>
      <c r="E9" s="6">
        <v>106669</v>
      </c>
      <c r="F9" s="6">
        <v>97224</v>
      </c>
      <c r="G9" s="36">
        <f>96302*1.103</f>
        <v>106221.106</v>
      </c>
      <c r="H9" s="2" t="s">
        <v>381</v>
      </c>
    </row>
    <row r="10" spans="1:11" x14ac:dyDescent="0.25">
      <c r="A10" s="3">
        <v>501150</v>
      </c>
      <c r="B10" s="4" t="s">
        <v>129</v>
      </c>
      <c r="C10" s="6">
        <v>1633.99</v>
      </c>
      <c r="D10" s="6">
        <v>1801.41</v>
      </c>
      <c r="E10" s="6">
        <v>1721</v>
      </c>
      <c r="F10" s="6">
        <v>1900</v>
      </c>
      <c r="G10" s="36">
        <f>2180*1.103</f>
        <v>2404.54</v>
      </c>
      <c r="H10" s="2" t="s">
        <v>381</v>
      </c>
    </row>
    <row r="11" spans="1:11" x14ac:dyDescent="0.25">
      <c r="A11" s="3">
        <v>501200</v>
      </c>
      <c r="B11" s="4" t="s">
        <v>130</v>
      </c>
      <c r="C11" s="6">
        <v>67256.03</v>
      </c>
      <c r="D11" s="6">
        <v>65566.86</v>
      </c>
      <c r="E11" s="6">
        <v>64909</v>
      </c>
      <c r="F11" s="6">
        <v>143080</v>
      </c>
      <c r="G11" s="36">
        <v>146000</v>
      </c>
      <c r="H11" s="2" t="s">
        <v>382</v>
      </c>
    </row>
    <row r="12" spans="1:11" x14ac:dyDescent="0.25">
      <c r="A12" s="3">
        <v>501225</v>
      </c>
      <c r="B12" s="4" t="s">
        <v>131</v>
      </c>
      <c r="C12" s="6">
        <v>2276.9499999999998</v>
      </c>
      <c r="D12" s="6">
        <v>2173.62</v>
      </c>
      <c r="E12" s="6">
        <v>2206</v>
      </c>
      <c r="F12" s="6">
        <v>3400</v>
      </c>
      <c r="G12" s="36">
        <v>2100</v>
      </c>
    </row>
    <row r="13" spans="1:11" ht="16.5" thickBot="1" x14ac:dyDescent="0.3">
      <c r="A13" s="3">
        <v>501250</v>
      </c>
      <c r="B13" s="4" t="s">
        <v>124</v>
      </c>
      <c r="C13" s="6">
        <v>318.10000000000002</v>
      </c>
      <c r="D13" s="6">
        <v>378.02</v>
      </c>
      <c r="E13" s="6">
        <v>356</v>
      </c>
      <c r="F13" s="6">
        <v>600</v>
      </c>
      <c r="G13" s="36">
        <v>500</v>
      </c>
    </row>
    <row r="14" spans="1:11" ht="16.5" thickBot="1" x14ac:dyDescent="0.3">
      <c r="A14" s="7" t="s">
        <v>10</v>
      </c>
      <c r="B14" s="8"/>
      <c r="C14" s="30">
        <f>SUM(C5:C13)</f>
        <v>591573.71</v>
      </c>
      <c r="D14" s="30">
        <f>SUM(D5:D13)</f>
        <v>622128.72</v>
      </c>
      <c r="E14" s="30">
        <f>SUM(E5:E13)</f>
        <v>686719</v>
      </c>
      <c r="F14" s="30">
        <f>SUM(F5:F13)</f>
        <v>670509</v>
      </c>
      <c r="G14" s="30">
        <f>SUM(G5:G13)</f>
        <v>730514.64600000007</v>
      </c>
    </row>
    <row r="16" spans="1:11" ht="16.5" thickBot="1" x14ac:dyDescent="0.3">
      <c r="A16" s="1" t="s">
        <v>8</v>
      </c>
      <c r="B16" s="1"/>
      <c r="C16" s="1"/>
      <c r="D16" s="1"/>
      <c r="E16" s="1"/>
      <c r="F16" s="1"/>
      <c r="G16" s="1"/>
    </row>
    <row r="17" spans="1:8" ht="56.25" x14ac:dyDescent="0.25">
      <c r="A17" s="5" t="s">
        <v>1</v>
      </c>
      <c r="B17" s="5" t="s">
        <v>2</v>
      </c>
      <c r="C17" s="77" t="s">
        <v>6</v>
      </c>
      <c r="D17" s="77" t="s">
        <v>5</v>
      </c>
      <c r="E17" s="77" t="s">
        <v>350</v>
      </c>
      <c r="F17" s="77" t="s">
        <v>349</v>
      </c>
      <c r="G17" s="77" t="s">
        <v>348</v>
      </c>
    </row>
    <row r="18" spans="1:8" x14ac:dyDescent="0.25">
      <c r="A18" s="45">
        <v>501300</v>
      </c>
      <c r="B18" s="46" t="s">
        <v>132</v>
      </c>
      <c r="C18" s="36">
        <v>10333.99</v>
      </c>
      <c r="D18" s="36">
        <v>10602.68</v>
      </c>
      <c r="E18" s="36">
        <v>12969.64</v>
      </c>
      <c r="F18" s="36">
        <v>8835</v>
      </c>
      <c r="G18" s="36">
        <v>12000</v>
      </c>
    </row>
    <row r="19" spans="1:8" x14ac:dyDescent="0.25">
      <c r="A19" s="3">
        <v>501350</v>
      </c>
      <c r="B19" s="4" t="s">
        <v>133</v>
      </c>
      <c r="C19" s="6">
        <v>304</v>
      </c>
      <c r="D19" s="6">
        <v>302</v>
      </c>
      <c r="E19" s="6">
        <v>296</v>
      </c>
      <c r="F19" s="6">
        <v>300</v>
      </c>
      <c r="G19" s="6">
        <v>0</v>
      </c>
    </row>
    <row r="20" spans="1:8" x14ac:dyDescent="0.25">
      <c r="A20" s="3">
        <v>510000</v>
      </c>
      <c r="B20" s="4" t="s">
        <v>134</v>
      </c>
      <c r="C20" s="6">
        <v>199.71</v>
      </c>
      <c r="D20" s="6">
        <v>-140.44999999999999</v>
      </c>
      <c r="E20" s="6">
        <v>-30.01</v>
      </c>
      <c r="F20" s="6">
        <v>50</v>
      </c>
      <c r="G20" s="6">
        <v>0</v>
      </c>
    </row>
    <row r="21" spans="1:8" x14ac:dyDescent="0.25">
      <c r="A21" s="3">
        <v>510050</v>
      </c>
      <c r="B21" s="4" t="s">
        <v>135</v>
      </c>
      <c r="C21" s="6">
        <v>1062.49</v>
      </c>
      <c r="D21" s="6">
        <v>0</v>
      </c>
      <c r="E21" s="6">
        <v>39129.61</v>
      </c>
      <c r="F21" s="6">
        <v>0</v>
      </c>
      <c r="G21" s="6">
        <v>0</v>
      </c>
    </row>
    <row r="22" spans="1:8" x14ac:dyDescent="0.25">
      <c r="A22" s="3">
        <v>510100</v>
      </c>
      <c r="B22" s="4" t="s">
        <v>136</v>
      </c>
      <c r="C22" s="6">
        <v>8125</v>
      </c>
      <c r="D22" s="6">
        <v>9095.8700000000008</v>
      </c>
      <c r="E22" s="6">
        <v>20500</v>
      </c>
      <c r="F22" s="6">
        <v>10834</v>
      </c>
      <c r="G22" s="6">
        <v>10000</v>
      </c>
    </row>
    <row r="23" spans="1:8" x14ac:dyDescent="0.25">
      <c r="A23" s="3">
        <v>510125</v>
      </c>
      <c r="B23" s="4" t="s">
        <v>137</v>
      </c>
      <c r="C23" s="6">
        <v>3078</v>
      </c>
      <c r="D23" s="6">
        <v>5065.2</v>
      </c>
      <c r="E23" s="6">
        <v>2532.6</v>
      </c>
      <c r="F23" s="6">
        <v>5600</v>
      </c>
      <c r="G23" s="6">
        <v>7500</v>
      </c>
    </row>
    <row r="24" spans="1:8" x14ac:dyDescent="0.25">
      <c r="A24" s="3">
        <v>510150</v>
      </c>
      <c r="B24" s="4" t="s">
        <v>138</v>
      </c>
      <c r="C24" s="6">
        <v>1924.73</v>
      </c>
      <c r="D24" s="6">
        <v>2686.61</v>
      </c>
      <c r="E24" s="6">
        <v>2442.5300000000002</v>
      </c>
      <c r="F24" s="6">
        <v>3000</v>
      </c>
      <c r="G24" s="6">
        <v>1500</v>
      </c>
    </row>
    <row r="25" spans="1:8" x14ac:dyDescent="0.25">
      <c r="A25" s="3">
        <v>510200</v>
      </c>
      <c r="B25" s="4" t="s">
        <v>139</v>
      </c>
      <c r="C25" s="6">
        <v>907.35</v>
      </c>
      <c r="D25" s="6">
        <v>0</v>
      </c>
      <c r="E25" s="6">
        <v>0</v>
      </c>
      <c r="F25" s="6">
        <v>3000</v>
      </c>
      <c r="G25" s="6">
        <v>1500</v>
      </c>
    </row>
    <row r="26" spans="1:8" x14ac:dyDescent="0.25">
      <c r="A26" s="3">
        <v>510250</v>
      </c>
      <c r="B26" s="4" t="s">
        <v>140</v>
      </c>
      <c r="C26" s="6">
        <v>6108.27</v>
      </c>
      <c r="D26" s="6">
        <v>7626.54</v>
      </c>
      <c r="E26" s="6">
        <v>12489</v>
      </c>
      <c r="F26" s="6">
        <v>9000</v>
      </c>
      <c r="G26" s="6">
        <v>7500</v>
      </c>
    </row>
    <row r="27" spans="1:8" x14ac:dyDescent="0.25">
      <c r="A27" s="3">
        <v>510300</v>
      </c>
      <c r="B27" s="4" t="s">
        <v>141</v>
      </c>
      <c r="C27" s="6">
        <v>2632.02</v>
      </c>
      <c r="D27" s="6">
        <v>5796.82</v>
      </c>
      <c r="E27" s="6">
        <v>3506.31</v>
      </c>
      <c r="F27" s="6">
        <v>2500</v>
      </c>
      <c r="G27" s="6">
        <v>1000</v>
      </c>
    </row>
    <row r="28" spans="1:8" x14ac:dyDescent="0.25">
      <c r="A28" s="3">
        <v>510350</v>
      </c>
      <c r="B28" s="4" t="s">
        <v>142</v>
      </c>
      <c r="C28" s="6">
        <v>3150.54</v>
      </c>
      <c r="D28" s="6">
        <v>3078.36</v>
      </c>
      <c r="E28" s="6">
        <v>3171.84</v>
      </c>
      <c r="F28" s="6">
        <v>5000</v>
      </c>
      <c r="G28" s="6">
        <f>6200+3000</f>
        <v>9200</v>
      </c>
      <c r="H28" s="117" t="s">
        <v>422</v>
      </c>
    </row>
    <row r="29" spans="1:8" x14ac:dyDescent="0.25">
      <c r="A29" s="3">
        <v>510400</v>
      </c>
      <c r="B29" s="4" t="s">
        <v>143</v>
      </c>
      <c r="C29" s="6">
        <v>4766.22</v>
      </c>
      <c r="D29" s="6">
        <v>6086.77</v>
      </c>
      <c r="E29" s="6">
        <v>7519.09</v>
      </c>
      <c r="F29" s="6">
        <v>6500</v>
      </c>
      <c r="G29" s="6">
        <v>9000</v>
      </c>
    </row>
    <row r="30" spans="1:8" x14ac:dyDescent="0.25">
      <c r="A30" s="3">
        <v>510425</v>
      </c>
      <c r="B30" s="4" t="s">
        <v>144</v>
      </c>
      <c r="C30" s="6">
        <v>14267.38</v>
      </c>
      <c r="D30" s="6">
        <v>10951</v>
      </c>
      <c r="E30" s="6">
        <v>18189.599999999999</v>
      </c>
      <c r="F30" s="6">
        <v>16000</v>
      </c>
      <c r="G30" s="6">
        <f>16000-500</f>
        <v>15500</v>
      </c>
    </row>
    <row r="31" spans="1:8" x14ac:dyDescent="0.25">
      <c r="A31" s="3">
        <v>510450</v>
      </c>
      <c r="B31" s="4" t="s">
        <v>145</v>
      </c>
      <c r="C31" s="6">
        <v>3300.29</v>
      </c>
      <c r="D31" s="6">
        <v>4439.66</v>
      </c>
      <c r="E31" s="6">
        <v>5660.95</v>
      </c>
      <c r="F31" s="6">
        <v>6000</v>
      </c>
      <c r="G31" s="6">
        <v>5500</v>
      </c>
    </row>
    <row r="32" spans="1:8" x14ac:dyDescent="0.25">
      <c r="A32" s="3">
        <v>510500</v>
      </c>
      <c r="B32" s="4" t="s">
        <v>170</v>
      </c>
      <c r="C32" s="6">
        <v>0</v>
      </c>
      <c r="D32" s="6">
        <v>0</v>
      </c>
      <c r="E32" s="6">
        <v>747.31</v>
      </c>
      <c r="F32" s="6">
        <v>1000</v>
      </c>
      <c r="G32" s="6">
        <v>500</v>
      </c>
    </row>
    <row r="33" spans="1:7" x14ac:dyDescent="0.25">
      <c r="A33" s="3">
        <v>510550</v>
      </c>
      <c r="B33" s="4" t="s">
        <v>146</v>
      </c>
      <c r="C33" s="6">
        <v>0</v>
      </c>
      <c r="D33" s="6">
        <v>0</v>
      </c>
      <c r="E33" s="6">
        <v>998.77</v>
      </c>
      <c r="F33" s="6">
        <v>1000</v>
      </c>
      <c r="G33" s="6">
        <f>2000-1000</f>
        <v>1000</v>
      </c>
    </row>
    <row r="34" spans="1:7" x14ac:dyDescent="0.25">
      <c r="A34" s="3">
        <v>510600</v>
      </c>
      <c r="B34" s="4" t="s">
        <v>147</v>
      </c>
      <c r="C34" s="6">
        <v>8278.2000000000007</v>
      </c>
      <c r="D34" s="6">
        <v>5537.98</v>
      </c>
      <c r="E34" s="6">
        <v>6836.82</v>
      </c>
      <c r="F34" s="6">
        <v>6000</v>
      </c>
      <c r="G34" s="6">
        <f>6000-500</f>
        <v>5500</v>
      </c>
    </row>
    <row r="35" spans="1:7" x14ac:dyDescent="0.25">
      <c r="A35" s="3">
        <v>510625</v>
      </c>
      <c r="B35" s="4" t="s">
        <v>148</v>
      </c>
      <c r="C35" s="6">
        <v>2557.39</v>
      </c>
      <c r="D35" s="6">
        <v>16031.83</v>
      </c>
      <c r="E35" s="6">
        <v>11889</v>
      </c>
      <c r="F35" s="6">
        <v>0</v>
      </c>
      <c r="G35" s="6">
        <v>0</v>
      </c>
    </row>
    <row r="36" spans="1:7" x14ac:dyDescent="0.25">
      <c r="A36" s="3">
        <v>510700</v>
      </c>
      <c r="B36" s="4" t="s">
        <v>149</v>
      </c>
      <c r="C36" s="6">
        <v>-336</v>
      </c>
      <c r="D36" s="6">
        <v>353.63</v>
      </c>
      <c r="E36" s="6">
        <v>0</v>
      </c>
      <c r="F36" s="6">
        <v>1000</v>
      </c>
      <c r="G36" s="6">
        <v>750</v>
      </c>
    </row>
    <row r="37" spans="1:7" x14ac:dyDescent="0.25">
      <c r="A37" s="3">
        <v>510750</v>
      </c>
      <c r="B37" s="4" t="s">
        <v>150</v>
      </c>
      <c r="C37" s="6">
        <v>0</v>
      </c>
      <c r="D37" s="6">
        <v>0</v>
      </c>
      <c r="E37" s="6">
        <v>0</v>
      </c>
      <c r="F37" s="6">
        <v>500</v>
      </c>
      <c r="G37" s="6">
        <v>0</v>
      </c>
    </row>
    <row r="38" spans="1:7" x14ac:dyDescent="0.25">
      <c r="A38" s="3">
        <v>510800</v>
      </c>
      <c r="B38" s="4" t="s">
        <v>151</v>
      </c>
      <c r="C38" s="6">
        <v>733.66</v>
      </c>
      <c r="D38" s="6">
        <v>573.74</v>
      </c>
      <c r="E38" s="6">
        <v>0</v>
      </c>
      <c r="F38" s="6">
        <v>1000</v>
      </c>
      <c r="G38" s="6">
        <f>1000-1000</f>
        <v>0</v>
      </c>
    </row>
    <row r="39" spans="1:7" x14ac:dyDescent="0.25">
      <c r="A39" s="3">
        <v>510900</v>
      </c>
      <c r="B39" s="4" t="s">
        <v>152</v>
      </c>
      <c r="C39" s="6">
        <v>1329.81</v>
      </c>
      <c r="D39" s="6">
        <v>0</v>
      </c>
      <c r="E39" s="6">
        <v>3713.1</v>
      </c>
      <c r="F39" s="6">
        <v>2500</v>
      </c>
      <c r="G39" s="6">
        <v>1700</v>
      </c>
    </row>
    <row r="40" spans="1:7" x14ac:dyDescent="0.25">
      <c r="A40" s="3">
        <v>511000</v>
      </c>
      <c r="B40" s="4" t="s">
        <v>153</v>
      </c>
      <c r="C40" s="6">
        <v>1560.88</v>
      </c>
      <c r="D40" s="6">
        <v>873.57</v>
      </c>
      <c r="E40" s="6">
        <v>9841.92</v>
      </c>
      <c r="F40" s="6">
        <v>6000</v>
      </c>
      <c r="G40" s="6">
        <v>3000</v>
      </c>
    </row>
    <row r="41" spans="1:7" x14ac:dyDescent="0.25">
      <c r="A41" s="3">
        <v>511050</v>
      </c>
      <c r="B41" s="4" t="s">
        <v>154</v>
      </c>
      <c r="C41" s="6">
        <v>782.04</v>
      </c>
      <c r="D41" s="6">
        <v>0</v>
      </c>
      <c r="E41" s="6">
        <v>934.8</v>
      </c>
      <c r="F41" s="6">
        <v>2000</v>
      </c>
      <c r="G41" s="6">
        <v>1000</v>
      </c>
    </row>
    <row r="42" spans="1:7" x14ac:dyDescent="0.25">
      <c r="A42" s="3">
        <v>511100</v>
      </c>
      <c r="B42" s="4" t="s">
        <v>155</v>
      </c>
      <c r="C42" s="6">
        <v>2262.2399999999998</v>
      </c>
      <c r="D42" s="6">
        <v>2600.56</v>
      </c>
      <c r="E42" s="6">
        <v>11900.14</v>
      </c>
      <c r="F42" s="6">
        <v>4000</v>
      </c>
      <c r="G42" s="6">
        <v>4500</v>
      </c>
    </row>
    <row r="43" spans="1:7" x14ac:dyDescent="0.25">
      <c r="A43" s="3">
        <v>511150</v>
      </c>
      <c r="B43" s="4" t="s">
        <v>156</v>
      </c>
      <c r="C43" s="6">
        <v>1227.24</v>
      </c>
      <c r="D43" s="6">
        <v>4863.01</v>
      </c>
      <c r="E43" s="6">
        <v>3606.06</v>
      </c>
      <c r="F43" s="6">
        <v>6000</v>
      </c>
      <c r="G43" s="6">
        <f>6500-1500</f>
        <v>5000</v>
      </c>
    </row>
    <row r="44" spans="1:7" x14ac:dyDescent="0.25">
      <c r="A44" s="3">
        <v>511200</v>
      </c>
      <c r="B44" s="4" t="s">
        <v>157</v>
      </c>
      <c r="C44" s="6">
        <v>17048.37</v>
      </c>
      <c r="D44" s="6">
        <v>16489.52</v>
      </c>
      <c r="E44" s="6">
        <v>16150.85</v>
      </c>
      <c r="F44" s="6">
        <v>0</v>
      </c>
      <c r="G44" s="6">
        <v>0</v>
      </c>
    </row>
    <row r="45" spans="1:7" x14ac:dyDescent="0.25">
      <c r="A45" s="3">
        <v>511250</v>
      </c>
      <c r="B45" s="4" t="s">
        <v>158</v>
      </c>
      <c r="C45" s="6">
        <v>314.02999999999997</v>
      </c>
      <c r="D45" s="6">
        <v>373.57</v>
      </c>
      <c r="E45" s="6">
        <v>384.39</v>
      </c>
      <c r="F45" s="6">
        <v>0</v>
      </c>
      <c r="G45" s="6">
        <v>0</v>
      </c>
    </row>
    <row r="46" spans="1:7" x14ac:dyDescent="0.25">
      <c r="A46" s="3">
        <v>511300</v>
      </c>
      <c r="B46" s="4" t="s">
        <v>159</v>
      </c>
      <c r="C46" s="6">
        <v>344.42</v>
      </c>
      <c r="D46" s="6">
        <v>418.8</v>
      </c>
      <c r="E46" s="6">
        <v>432.16</v>
      </c>
      <c r="F46" s="6">
        <v>0</v>
      </c>
      <c r="G46" s="6">
        <v>0</v>
      </c>
    </row>
    <row r="47" spans="1:7" x14ac:dyDescent="0.25">
      <c r="A47" s="3">
        <v>511350</v>
      </c>
      <c r="B47" s="4" t="s">
        <v>160</v>
      </c>
      <c r="C47" s="6">
        <v>378.76</v>
      </c>
      <c r="D47" s="6">
        <v>382.92</v>
      </c>
      <c r="E47" s="6">
        <v>386.92</v>
      </c>
      <c r="F47" s="6">
        <v>0</v>
      </c>
      <c r="G47" s="6">
        <v>0</v>
      </c>
    </row>
    <row r="48" spans="1:7" x14ac:dyDescent="0.25">
      <c r="A48" s="3">
        <v>519000</v>
      </c>
      <c r="B48" s="4" t="s">
        <v>125</v>
      </c>
      <c r="C48" s="6">
        <v>13291.44</v>
      </c>
      <c r="D48" s="6">
        <v>7751</v>
      </c>
      <c r="E48" s="6">
        <v>5710.27</v>
      </c>
      <c r="F48" s="6">
        <v>6000</v>
      </c>
      <c r="G48" s="6">
        <f>6500-1000</f>
        <v>5500</v>
      </c>
    </row>
    <row r="49" spans="1:11" x14ac:dyDescent="0.25">
      <c r="A49" s="3">
        <v>525100</v>
      </c>
      <c r="B49" s="4" t="s">
        <v>161</v>
      </c>
      <c r="C49" s="6">
        <v>7200</v>
      </c>
      <c r="D49" s="6">
        <v>7200</v>
      </c>
      <c r="E49" s="6">
        <v>7200</v>
      </c>
      <c r="F49" s="6">
        <v>7200</v>
      </c>
      <c r="G49" s="6">
        <v>7200</v>
      </c>
    </row>
    <row r="50" spans="1:11" ht="16.5" thickBot="1" x14ac:dyDescent="0.3">
      <c r="A50" s="3">
        <v>531150</v>
      </c>
      <c r="B50" s="4" t="s">
        <v>162</v>
      </c>
      <c r="C50" s="6">
        <v>3250</v>
      </c>
      <c r="D50" s="6">
        <v>3900</v>
      </c>
      <c r="E50" s="6">
        <v>0</v>
      </c>
      <c r="F50" s="6">
        <v>10000</v>
      </c>
      <c r="G50" s="6">
        <v>0</v>
      </c>
    </row>
    <row r="51" spans="1:11" ht="16.5" thickBot="1" x14ac:dyDescent="0.3">
      <c r="A51" s="7" t="s">
        <v>11</v>
      </c>
      <c r="B51" s="8"/>
      <c r="C51" s="30">
        <f>SUM(C18:C50)</f>
        <v>120382.47</v>
      </c>
      <c r="D51" s="30">
        <f>SUM(D18:D50)</f>
        <v>132941.19</v>
      </c>
      <c r="E51" s="30">
        <f>SUM(E18:E50)</f>
        <v>209109.67000000004</v>
      </c>
      <c r="F51" s="30">
        <f>SUM(F18:F50)</f>
        <v>130819</v>
      </c>
      <c r="G51" s="30">
        <f>SUM(G18:G50)</f>
        <v>115850</v>
      </c>
    </row>
    <row r="52" spans="1:11" ht="16.5" thickBot="1" x14ac:dyDescent="0.3"/>
    <row r="53" spans="1:11" ht="16.5" thickBot="1" x14ac:dyDescent="0.3">
      <c r="A53" s="9" t="s">
        <v>48</v>
      </c>
      <c r="B53" s="10"/>
      <c r="C53" s="10"/>
      <c r="D53" s="10"/>
      <c r="E53" s="10"/>
      <c r="F53" s="10"/>
      <c r="G53" s="10"/>
      <c r="H53" s="2"/>
      <c r="I53" s="2"/>
      <c r="J53" s="2"/>
      <c r="K53" s="2"/>
    </row>
    <row r="54" spans="1:11" ht="15" customHeight="1" x14ac:dyDescent="0.25">
      <c r="A54" s="150"/>
      <c r="B54" s="152" t="s">
        <v>12</v>
      </c>
      <c r="C54" s="154" t="s">
        <v>6</v>
      </c>
      <c r="D54" s="154" t="s">
        <v>5</v>
      </c>
      <c r="E54" s="154" t="s">
        <v>350</v>
      </c>
      <c r="F54" s="154" t="s">
        <v>349</v>
      </c>
      <c r="G54" s="154" t="s">
        <v>348</v>
      </c>
    </row>
    <row r="55" spans="1:11" ht="49.5" customHeight="1" thickBot="1" x14ac:dyDescent="0.3">
      <c r="A55" s="151"/>
      <c r="B55" s="153"/>
      <c r="C55" s="155"/>
      <c r="D55" s="155"/>
      <c r="E55" s="155"/>
      <c r="F55" s="155"/>
      <c r="G55" s="155"/>
    </row>
    <row r="56" spans="1:11" x14ac:dyDescent="0.25">
      <c r="A56" s="3"/>
      <c r="B56" s="4" t="s">
        <v>13</v>
      </c>
      <c r="C56" s="36">
        <f>C14</f>
        <v>591573.71</v>
      </c>
      <c r="D56" s="36">
        <v>622128.72</v>
      </c>
      <c r="E56" s="36">
        <f>E14</f>
        <v>686719</v>
      </c>
      <c r="F56" s="36">
        <f>F14</f>
        <v>670509</v>
      </c>
      <c r="G56" s="36">
        <f>G14</f>
        <v>730514.64600000007</v>
      </c>
    </row>
    <row r="57" spans="1:11" x14ac:dyDescent="0.25">
      <c r="A57" s="3"/>
      <c r="B57" s="4" t="s">
        <v>14</v>
      </c>
      <c r="C57" s="6">
        <f>C51</f>
        <v>120382.47</v>
      </c>
      <c r="D57" s="6">
        <v>132941.19</v>
      </c>
      <c r="E57" s="6">
        <f>E51</f>
        <v>209109.67000000004</v>
      </c>
      <c r="F57" s="6">
        <f>F51</f>
        <v>130819</v>
      </c>
      <c r="G57" s="6">
        <f>G51</f>
        <v>115850</v>
      </c>
    </row>
    <row r="58" spans="1:11" ht="16.5" thickBot="1" x14ac:dyDescent="0.3">
      <c r="A58" s="3"/>
      <c r="B58" s="4" t="s">
        <v>15</v>
      </c>
      <c r="C58" s="6">
        <v>29319</v>
      </c>
      <c r="D58" s="6">
        <v>76639.11</v>
      </c>
      <c r="E58" s="6">
        <v>0</v>
      </c>
      <c r="F58" s="6">
        <v>0</v>
      </c>
      <c r="G58" s="6">
        <v>0</v>
      </c>
    </row>
    <row r="59" spans="1:11" x14ac:dyDescent="0.25">
      <c r="A59" s="11" t="s">
        <v>16</v>
      </c>
      <c r="B59" s="12"/>
      <c r="C59" s="31">
        <f>SUM(C56:C58)</f>
        <v>741275.17999999993</v>
      </c>
      <c r="D59" s="31">
        <f>SUM(D56:D58)</f>
        <v>831709.0199999999</v>
      </c>
      <c r="E59" s="31">
        <f>SUM(E56:E58)</f>
        <v>895828.67</v>
      </c>
      <c r="F59" s="31">
        <f>SUM(F56:F58)</f>
        <v>801328</v>
      </c>
      <c r="G59" s="31">
        <f>SUM(G56:G58)</f>
        <v>846364.64600000007</v>
      </c>
    </row>
  </sheetData>
  <mergeCells count="9">
    <mergeCell ref="A1:G1"/>
    <mergeCell ref="G54:G55"/>
    <mergeCell ref="A2:F2"/>
    <mergeCell ref="A54:A55"/>
    <mergeCell ref="B54:B55"/>
    <mergeCell ref="C54:C55"/>
    <mergeCell ref="D54:D55"/>
    <mergeCell ref="E54:E55"/>
    <mergeCell ref="F54:F55"/>
  </mergeCells>
  <pageMargins left="0.45" right="0.45" top="0.75" bottom="0.75" header="0.3" footer="0.3"/>
  <pageSetup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</vt:i4>
      </vt:variant>
    </vt:vector>
  </HeadingPairs>
  <TitlesOfParts>
    <vt:vector size="33" baseType="lpstr">
      <vt:lpstr>Balancing Sheet</vt:lpstr>
      <vt:lpstr>GF Expenses</vt:lpstr>
      <vt:lpstr>Sheet4</vt:lpstr>
      <vt:lpstr>Sheet3</vt:lpstr>
      <vt:lpstr>GF REV</vt:lpstr>
      <vt:lpstr>Sheet2</vt:lpstr>
      <vt:lpstr>Town Council</vt:lpstr>
      <vt:lpstr>Town Manager</vt:lpstr>
      <vt:lpstr>Finance</vt:lpstr>
      <vt:lpstr>HR</vt:lpstr>
      <vt:lpstr>Legal</vt:lpstr>
      <vt:lpstr>IT</vt:lpstr>
      <vt:lpstr>Comm Dev</vt:lpstr>
      <vt:lpstr>RPD</vt:lpstr>
      <vt:lpstr>Police Grants</vt:lpstr>
      <vt:lpstr>FED_State Asset Forf</vt:lpstr>
      <vt:lpstr>Narc TF</vt:lpstr>
      <vt:lpstr>RFD</vt:lpstr>
      <vt:lpstr>Rescue</vt:lpstr>
      <vt:lpstr>Streets</vt:lpstr>
      <vt:lpstr>Sanitation</vt:lpstr>
      <vt:lpstr>Parks</vt:lpstr>
      <vt:lpstr>Non-D</vt:lpstr>
      <vt:lpstr>W&amp;S Revenue</vt:lpstr>
      <vt:lpstr>WA TR PL</vt:lpstr>
      <vt:lpstr>WW TR PL</vt:lpstr>
      <vt:lpstr>W&amp;S LINE</vt:lpstr>
      <vt:lpstr>Electric REV</vt:lpstr>
      <vt:lpstr>Electric Dep</vt:lpstr>
      <vt:lpstr>Synopsis</vt:lpstr>
      <vt:lpstr>Sheet17</vt:lpstr>
      <vt:lpstr>RFD!Print_Area</vt:lpstr>
      <vt:lpstr>Synopsis!Print_Area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May</dc:creator>
  <cp:lastModifiedBy>Ronnie Campbell</cp:lastModifiedBy>
  <cp:lastPrinted>2025-04-24T17:35:48Z</cp:lastPrinted>
  <dcterms:created xsi:type="dcterms:W3CDTF">2023-12-21T14:14:45Z</dcterms:created>
  <dcterms:modified xsi:type="dcterms:W3CDTF">2025-05-07T13:34:47Z</dcterms:modified>
</cp:coreProperties>
</file>